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40" windowHeight="7680" tabRatio="894" activeTab="0"/>
  </bookViews>
  <sheets>
    <sheet name="BM1-CTTH" sheetId="1" r:id="rId1"/>
    <sheet name="BM2" sheetId="2" r:id="rId2"/>
    <sheet name="BM3" sheetId="3" r:id="rId3"/>
    <sheet name="BM4" sheetId="4" r:id="rId4"/>
    <sheet name="BM5" sheetId="5" r:id="rId5"/>
    <sheet name="BM6" sheetId="6" r:id="rId6"/>
    <sheet name="BM7" sheetId="7" r:id="rId7"/>
    <sheet name="BM8" sheetId="8" r:id="rId8"/>
    <sheet name="BM9" sheetId="9" r:id="rId9"/>
    <sheet name="BM10" sheetId="10" r:id="rId10"/>
    <sheet name="BM11" sheetId="11" r:id="rId11"/>
    <sheet name="BM12" sheetId="12" r:id="rId12"/>
    <sheet name="BM13" sheetId="13" r:id="rId13"/>
    <sheet name="BM14" sheetId="14" r:id="rId14"/>
    <sheet name="BM15" sheetId="15" r:id="rId15"/>
    <sheet name="BM16" sheetId="16" r:id="rId16"/>
    <sheet name="PL2" sheetId="17" state="hidden" r:id="rId17"/>
    <sheet name="BieunayKhongin" sheetId="18" state="hidden" r:id="rId18"/>
    <sheet name="Khongin" sheetId="19" state="hidden" r:id="rId19"/>
    <sheet name="PL17CCTT(khongin)" sheetId="20" state="hidden" r:id="rId20"/>
    <sheet name="Sheet3" sheetId="21" state="hidden" r:id="rId21"/>
    <sheet name="Pl14" sheetId="22" state="hidden" r:id="rId22"/>
    <sheet name="Sheet1" sheetId="23" state="hidden" r:id="rId23"/>
    <sheet name="Sheet2" sheetId="24" state="hidden" r:id="rId24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_Fill" localSheetId="17" hidden="1">#REF!</definedName>
    <definedName name="_Fill" localSheetId="9" hidden="1">#REF!</definedName>
    <definedName name="_Fill" localSheetId="18" hidden="1">#REF!</definedName>
    <definedName name="_Fill" hidden="1">#REF!</definedName>
    <definedName name="_Key1" localSheetId="17" hidden="1">#REF!</definedName>
    <definedName name="_Key1" localSheetId="9" hidden="1">#REF!</definedName>
    <definedName name="_Key1" localSheetId="18" hidden="1">#REF!</definedName>
    <definedName name="_Key1" hidden="1">#REF!</definedName>
    <definedName name="_Key2" localSheetId="17" hidden="1">#REF!</definedName>
    <definedName name="_Key2" localSheetId="9" hidden="1">#REF!</definedName>
    <definedName name="_Key2" localSheetId="18" hidden="1">#REF!</definedName>
    <definedName name="_Key2" hidden="1">#REF!</definedName>
    <definedName name="_Order1" hidden="1">255</definedName>
    <definedName name="_Order2" hidden="1">255</definedName>
    <definedName name="_Sort" localSheetId="17" hidden="1">#REF!</definedName>
    <definedName name="_Sort" localSheetId="9" hidden="1">#REF!</definedName>
    <definedName name="_Sort" localSheetId="18" hidden="1">#REF!</definedName>
    <definedName name="_Sort" hidden="1">#REF!</definedName>
    <definedName name="CLVC3">0.1</definedName>
    <definedName name="DataFilter" localSheetId="17">[1]!DataFilter</definedName>
    <definedName name="DataFilter" localSheetId="9">[1]!DataFilter</definedName>
    <definedName name="DataFilter" localSheetId="18">[1]!DataFilter</definedName>
    <definedName name="DataFilter">[1]!DataFilter</definedName>
    <definedName name="DataSort" localSheetId="17">[1]!DataSort</definedName>
    <definedName name="DataSort" localSheetId="9">[1]!DataSort</definedName>
    <definedName name="DataSort" localSheetId="18">[1]!DataSort</definedName>
    <definedName name="DataSort">[1]!DataSort</definedName>
    <definedName name="GoBack" localSheetId="17">[1]!GoBack</definedName>
    <definedName name="GoBack" localSheetId="9">[1]!GoBack</definedName>
    <definedName name="GoBack" localSheetId="18">[1]!GoBack</definedName>
    <definedName name="GoBack">[1]!GoBack</definedName>
    <definedName name="h" localSheetId="17" hidden="1">{"'Sheet1'!$L$16"}</definedName>
    <definedName name="h" localSheetId="9" hidden="1">{"'Sheet1'!$L$16"}</definedName>
    <definedName name="h" localSheetId="12" hidden="1">{"'Sheet1'!$L$16"}</definedName>
    <definedName name="h" localSheetId="13" hidden="1">{"'Sheet1'!$L$16"}</definedName>
    <definedName name="h" localSheetId="15" hidden="1">{"'Sheet1'!$L$16"}</definedName>
    <definedName name="h" localSheetId="0" hidden="1">{"'Sheet1'!$L$16"}</definedName>
    <definedName name="h" localSheetId="1" hidden="1">{"'Sheet1'!$L$16"}</definedName>
    <definedName name="h" localSheetId="18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17" hidden="1">{"'Sheet1'!$L$16"}</definedName>
    <definedName name="HTML_Control" localSheetId="9" hidden="1">{"'Sheet1'!$L$16"}</definedName>
    <definedName name="HTML_Control" localSheetId="12" hidden="1">{"'Sheet1'!$L$16"}</definedName>
    <definedName name="HTML_Control" localSheetId="13" hidden="1">{"'Sheet1'!$L$16"}</definedName>
    <definedName name="HTML_Control" localSheetId="15" hidden="1">{"'Sheet1'!$L$16"}</definedName>
    <definedName name="HTML_Control" localSheetId="0" hidden="1">{"'Sheet1'!$L$16"}</definedName>
    <definedName name="HTML_Control" localSheetId="1" hidden="1">{"'Sheet1'!$L$16"}</definedName>
    <definedName name="HTML_Control" localSheetId="18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7" hidden="1">{"'Sheet1'!$L$16"}</definedName>
    <definedName name="huy" localSheetId="9" hidden="1">{"'Sheet1'!$L$16"}</definedName>
    <definedName name="huy" localSheetId="12" hidden="1">{"'Sheet1'!$L$16"}</definedName>
    <definedName name="huy" localSheetId="13" hidden="1">{"'Sheet1'!$L$16"}</definedName>
    <definedName name="huy" localSheetId="15" hidden="1">{"'Sheet1'!$L$16"}</definedName>
    <definedName name="huy" localSheetId="0" hidden="1">{"'Sheet1'!$L$16"}</definedName>
    <definedName name="huy" localSheetId="1" hidden="1">{"'Sheet1'!$L$16"}</definedName>
    <definedName name="huy" localSheetId="18" hidden="1">{"'Sheet1'!$L$16"}</definedName>
    <definedName name="huy" hidden="1">{"'Sheet1'!$L$16"}</definedName>
    <definedName name="_xlnm.Print_Area" localSheetId="17">'BieunayKhongin'!$A$1:$O$52</definedName>
    <definedName name="_xlnm.Print_Area" localSheetId="9">'BM10'!$A$1:$J$54</definedName>
    <definedName name="_xlnm.Print_Area" localSheetId="10">'BM11'!$A$1:$J$25</definedName>
    <definedName name="_xlnm.Print_Area" localSheetId="11">'BM12'!$A$1:$J$14</definedName>
    <definedName name="_xlnm.Print_Area" localSheetId="12">'BM13'!$A$1:$J$14</definedName>
    <definedName name="_xlnm.Print_Area" localSheetId="13">'BM14'!$A$1:$J$31</definedName>
    <definedName name="_xlnm.Print_Area" localSheetId="0">'BM1-CTTH'!$A$1:$K$81</definedName>
    <definedName name="_xlnm.Print_Area" localSheetId="1">'BM2'!$A$1:$J$20</definedName>
    <definedName name="_xlnm.Print_Area" localSheetId="2">'BM3'!$A$1:$J$19</definedName>
    <definedName name="_xlnm.Print_Area" localSheetId="3">'BM4'!$A$1:$K$16</definedName>
    <definedName name="_xlnm.Print_Area" localSheetId="4">'BM5'!$A$1:$J$19</definedName>
    <definedName name="_xlnm.Print_Area" localSheetId="6">'BM7'!$A$1:$K$28</definedName>
    <definedName name="_xlnm.Print_Area" localSheetId="7">'BM8'!$A$1:$K$37</definedName>
    <definedName name="_xlnm.Print_Area" localSheetId="8">'BM9'!$A$1:$K$36</definedName>
    <definedName name="_xlnm.Print_Area" localSheetId="18">'Khongin'!$A$1:$I$61</definedName>
    <definedName name="_xlnm.Print_Area" localSheetId="19">'PL17CCTT(khongin)'!$A$1:$V$39</definedName>
    <definedName name="_xlnm.Print_Titles" localSheetId="17">'BieunayKhongin'!$5:$5</definedName>
    <definedName name="_xlnm.Print_Titles" localSheetId="9">'BM10'!$5:$5</definedName>
    <definedName name="_xlnm.Print_Titles" localSheetId="10">'BM11'!$5:$5</definedName>
    <definedName name="_xlnm.Print_Titles" localSheetId="11">'BM12'!$5:$5</definedName>
    <definedName name="_xlnm.Print_Titles" localSheetId="13">'BM14'!$5:$5</definedName>
    <definedName name="_xlnm.Print_Titles" localSheetId="14">'BM15'!$5:$6</definedName>
    <definedName name="_xlnm.Print_Titles" localSheetId="15">'BM16'!$5:$6</definedName>
    <definedName name="_xlnm.Print_Titles" localSheetId="0">'BM1-CTTH'!$4:$4</definedName>
    <definedName name="_xlnm.Print_Titles" localSheetId="1">'BM2'!$5:$5</definedName>
    <definedName name="_xlnm.Print_Titles" localSheetId="2">'BM3'!$5:$5</definedName>
    <definedName name="_xlnm.Print_Titles" localSheetId="4">'BM5'!$5:$5</definedName>
    <definedName name="_xlnm.Print_Titles" localSheetId="5">'BM6'!$5:$5</definedName>
    <definedName name="_xlnm.Print_Titles" localSheetId="6">'BM7'!$5:$5</definedName>
    <definedName name="_xlnm.Print_Titles" localSheetId="7">'BM8'!$5:$5</definedName>
    <definedName name="_xlnm.Print_Titles" localSheetId="8">'BM9'!$4:$4</definedName>
    <definedName name="_xlnm.Print_Titles" localSheetId="18">'Khongin'!$5:$5</definedName>
    <definedName name="_xlnm.Print_Titles" localSheetId="21">'Pl14'!$4:$5</definedName>
    <definedName name="_xlnm.Print_Titles" localSheetId="19">'PL17CCTT(khongin)'!$5:$5</definedName>
    <definedName name="_xlnm.Print_Titles" localSheetId="16">'PL2'!$4:$5</definedName>
    <definedName name="TaxTV">10%</definedName>
    <definedName name="TaxXL">5%</definedName>
    <definedName name="wrn.chi._.tiÆt." localSheetId="9" hidden="1">{#N/A,#N/A,FALSE,"Chi ti?t"}</definedName>
    <definedName name="wrn.chi._.tiÆt." localSheetId="12" hidden="1">{#N/A,#N/A,FALSE,"Chi ti?t"}</definedName>
    <definedName name="wrn.chi._.tiÆt." localSheetId="13" hidden="1">{#N/A,#N/A,FALSE,"Chi ti?t"}</definedName>
    <definedName name="wrn.chi._.tiÆt." localSheetId="15" hidden="1">{#N/A,#N/A,FALSE,"Chi ti?t"}</definedName>
    <definedName name="wrn.chi._.tiÆt." localSheetId="0" hidden="1">{#N/A,#N/A,FALSE,"Chi ti?t"}</definedName>
    <definedName name="wrn.chi._.tiÆt." localSheetId="1" hidden="1">{#N/A,#N/A,FALSE,"Chi ti?t"}</definedName>
    <definedName name="wrn.chi._.tiÆt." localSheetId="18" hidden="1">{#N/A,#N/A,FALSE,"Chi ti?t"}</definedName>
    <definedName name="wrn.chi._.tiÆt." hidden="1">{#N/A,#N/A,FALSE,"Chi ti?t"}</definedName>
    <definedName name="XCCT">0.5</definedName>
  </definedNames>
  <calcPr fullCalcOnLoad="1"/>
</workbook>
</file>

<file path=xl/comments1.xml><?xml version="1.0" encoding="utf-8"?>
<comments xmlns="http://schemas.openxmlformats.org/spreadsheetml/2006/main">
  <authors>
    <author>Bùi Văn Thường</author>
    <author>Administrator</author>
  </authors>
  <commentList>
    <comment ref="B8" authorId="0">
      <text>
        <r>
          <rPr>
            <sz val="9"/>
            <rFont val="Tahoma"/>
            <family val="2"/>
          </rPr>
          <t xml:space="preserve">Tính theo phương pháp cơ bản </t>
        </r>
      </text>
    </comment>
    <comment ref="B10" authorId="0">
      <text>
        <r>
          <rPr>
            <sz val="9"/>
            <rFont val="Tahoma"/>
            <family val="2"/>
          </rPr>
          <t xml:space="preserve">Tính theo phương pháp cơ bản </t>
        </r>
      </text>
    </comment>
    <comment ref="B12" authorId="0">
      <text>
        <r>
          <rPr>
            <sz val="9"/>
            <rFont val="Tahoma"/>
            <family val="2"/>
          </rPr>
          <t xml:space="preserve">Tính theo phương pháp cơ bản </t>
        </r>
      </text>
    </comment>
    <comment ref="B14" authorId="0">
      <text>
        <r>
          <rPr>
            <sz val="9"/>
            <rFont val="Tahoma"/>
            <family val="2"/>
          </rPr>
          <t xml:space="preserve">Tính theo phương pháp cơ bản </t>
        </r>
      </text>
    </comment>
    <comment ref="D69" authorId="1">
      <text>
        <r>
          <rPr>
            <sz val="9"/>
            <rFont val="Tahoma"/>
            <family val="2"/>
          </rPr>
          <t>TK: 75,39</t>
        </r>
      </text>
    </comment>
    <comment ref="D70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2,1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bang ke hoach ban dau la 9,5-10,2 nhung trong van kien la tu 10-10,2% o trang 26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41,5</t>
        </r>
      </text>
    </comment>
    <comment ref="H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71,7 còn số &gt;71,5 là số mới nhất của BỘ Y tế ngày 19/9</t>
        </r>
      </text>
    </comment>
    <comment ref="D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ke hoach 5 năm của Quốc hội là 14,7 nhưng trong văn kiện đại hội đảng là tốc độ tăng trung học chuyên nghiệp là 15%</t>
        </r>
      </text>
    </comment>
    <comment ref="H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15,5 còn số 16 là số mới nhất của Bộ Y tế
</t>
        </r>
      </text>
    </comment>
    <comment ref="H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75
số mới là 80 theo của Bộ Y Tế</t>
        </r>
      </text>
    </comment>
    <comment ref="H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6,3
Số mới là 6,03 của Bộ Y Tế</t>
        </r>
      </text>
    </comment>
    <comment ref="F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van ban chinh thuc cua Bo Nong nghiep phat trien nong thon</t>
        </r>
      </text>
    </comment>
  </commentList>
</comments>
</file>

<file path=xl/comments20.xml><?xml version="1.0" encoding="utf-8"?>
<comments xmlns="http://schemas.openxmlformats.org/spreadsheetml/2006/main">
  <authors>
    <author>10-Chu Van An </author>
  </authors>
  <commentList>
    <comment ref="J61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27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comments22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uớc tại kỳ họp 4 khóa 12 là 18
</t>
        </r>
      </text>
    </comment>
    <comment ref="H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là 28
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D14" authorId="0">
      <text>
        <r>
          <rPr>
            <sz val="9"/>
            <rFont val="Tahoma"/>
            <family val="2"/>
          </rPr>
          <t>TK: 75,39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2,1</t>
        </r>
      </text>
    </comment>
  </commentList>
</comments>
</file>

<file path=xl/sharedStrings.xml><?xml version="1.0" encoding="utf-8"?>
<sst xmlns="http://schemas.openxmlformats.org/spreadsheetml/2006/main" count="1613" uniqueCount="739">
  <si>
    <t>STT</t>
  </si>
  <si>
    <t>ChØ tiªu</t>
  </si>
  <si>
    <t>§¬n vÞ
tÝnh</t>
  </si>
  <si>
    <t>A</t>
  </si>
  <si>
    <t>T¨ng tr­ëng GDP</t>
  </si>
  <si>
    <t>%</t>
  </si>
  <si>
    <t>Trong ®ã:</t>
  </si>
  <si>
    <t xml:space="preserve"> - Tæng GDP theo VN§</t>
  </si>
  <si>
    <t xml:space="preserve"> - Tæng GDP qui USD </t>
  </si>
  <si>
    <t xml:space="preserve"> - GDP b×nh qu©n ®Çu ng­êi</t>
  </si>
  <si>
    <t>USD</t>
  </si>
  <si>
    <t>B</t>
  </si>
  <si>
    <t>10-11</t>
  </si>
  <si>
    <t>1/100.000</t>
  </si>
  <si>
    <t>%o</t>
  </si>
  <si>
    <t>C</t>
  </si>
  <si>
    <t>Ngh×n tû ®ång</t>
  </si>
  <si>
    <t>Tèc ®é t¨ng</t>
  </si>
  <si>
    <t>D</t>
  </si>
  <si>
    <t>Tên chỉ tiêu</t>
  </si>
  <si>
    <t>Đơn vị</t>
  </si>
  <si>
    <t>Mục tiêu KH 2006-2010</t>
  </si>
  <si>
    <t>TH năm 2006</t>
  </si>
  <si>
    <t>TH năm 2007</t>
  </si>
  <si>
    <t>Ước TH năm 2008</t>
  </si>
  <si>
    <t>Khả năng đạt mục tiêu KH 5 năm</t>
  </si>
  <si>
    <t>I.</t>
  </si>
  <si>
    <t>VỀ KINH TẾ</t>
  </si>
  <si>
    <t>Tốc độ tăng tổng sản phẩm trong nước (GDP)</t>
  </si>
  <si>
    <t>7,5-8%/năm, phấn đấu đạt &gt;8%</t>
  </si>
  <si>
    <t>Phấn đấu đạt</t>
  </si>
  <si>
    <t>GDP giá so sánh (năm 2000 là 273.666)</t>
  </si>
  <si>
    <t>tỷ đồng</t>
  </si>
  <si>
    <t>gấp 2,1 lần so với 2000</t>
  </si>
  <si>
    <t>491.258-493.603</t>
  </si>
  <si>
    <t>GDP bình quân đầu người</t>
  </si>
  <si>
    <t>Đạt</t>
  </si>
  <si>
    <t>Giá trị tăng thêm của NLNN</t>
  </si>
  <si>
    <t>Giá trị tăng thêm của CN-XD</t>
  </si>
  <si>
    <t>Giá trị tăng thêm của Dịch vụ</t>
  </si>
  <si>
    <t>Cơ cấu GDP</t>
  </si>
  <si>
    <t>- Nông lâm nghiệp và thủy sản</t>
  </si>
  <si>
    <t>Không đạt</t>
  </si>
  <si>
    <t>- Công nghiệp và xây dựng</t>
  </si>
  <si>
    <t>- Dịch vụ</t>
  </si>
  <si>
    <t>Tốc độ tăng kim ngạch xuất khẩu hàng hóa</t>
  </si>
  <si>
    <t>16</t>
  </si>
  <si>
    <t>Vốn đầu tư phát triển toàn xã hội so với GDP</t>
  </si>
  <si>
    <t>40</t>
  </si>
  <si>
    <t>Tỷ lệ huy động GDP hàng năm vào NSNN</t>
  </si>
  <si>
    <t>21-22</t>
  </si>
  <si>
    <t>II.</t>
  </si>
  <si>
    <t>VỀ XÃ HỘI</t>
  </si>
  <si>
    <t>Số địa phương đạt chuẩn chương trình phổ cập giáo dục trung học cơ sở</t>
  </si>
  <si>
    <t>Tỉnh</t>
  </si>
  <si>
    <t>64 (Hiện nay là 63)</t>
  </si>
  <si>
    <t>Sinh viên ĐH, cao đẳng/vạn dân</t>
  </si>
  <si>
    <t>SV</t>
  </si>
  <si>
    <t>200</t>
  </si>
  <si>
    <t>180</t>
  </si>
  <si>
    <t>188</t>
  </si>
  <si>
    <t>Tỷ lệ lao động qua đào tạo</t>
  </si>
  <si>
    <t>30,5</t>
  </si>
  <si>
    <t>37</t>
  </si>
  <si>
    <t>Tốc độ phát triển dân số</t>
  </si>
  <si>
    <t>Tạo việc làm</t>
  </si>
  <si>
    <t>Triệu LĐ</t>
  </si>
  <si>
    <t>Tỷ lệ thất nghiệp thành thị</t>
  </si>
  <si>
    <t>Tỷ trọng lao động nông lâm ngư nghiệp trong tổng lao động (năm 2005 là 58%)</t>
  </si>
  <si>
    <t>Tuổi thọ trung bình</t>
  </si>
  <si>
    <t>Tuổi</t>
  </si>
  <si>
    <t>72</t>
  </si>
  <si>
    <t>71,5</t>
  </si>
  <si>
    <t>Tốc độ tăng tuyển mới trung cấp chuyên nghiệp</t>
  </si>
  <si>
    <t>13,4</t>
  </si>
  <si>
    <t>Tăng tuyển mới cao đẳng nghề và trung cấp nghề</t>
  </si>
  <si>
    <t>17,0</t>
  </si>
  <si>
    <t>Tỷ lệ tử vong trẻ em dưới 1 tuổi</t>
  </si>
  <si>
    <t>Vượt</t>
  </si>
  <si>
    <t>Tỷ lệ trẻ em dưới 5 tuổi bị suy dinh dưỡng</t>
  </si>
  <si>
    <t>Tỷ lệ tử vong bà mẹ liên quan đến thai sản/100.000 trẻ đẻ sống</t>
  </si>
  <si>
    <t>Bác sĩ/vạn dân</t>
  </si>
  <si>
    <t>bác sĩ</t>
  </si>
  <si>
    <t>Tỷ lệ hộ nghèo (Năm 2005 là 22%)</t>
  </si>
  <si>
    <t>Điện thoại/100 dân</t>
  </si>
  <si>
    <t>máy</t>
  </si>
  <si>
    <t>Internet/100 dân</t>
  </si>
  <si>
    <t>thuê bao</t>
  </si>
  <si>
    <t>III.</t>
  </si>
  <si>
    <t>VỀ MÔI TRƯỜNG</t>
  </si>
  <si>
    <t>Tỷ lệ che phủ rừng</t>
  </si>
  <si>
    <t>Tỷ lệ dân số nông thôn được sử dụng nước hợp vệ sinh</t>
  </si>
  <si>
    <t>Tỷ lệ dân số đô thị được sử dụng nước sạch</t>
  </si>
  <si>
    <t>Thùc hiÖn 2005</t>
  </si>
  <si>
    <t>Ghi chó</t>
  </si>
  <si>
    <t>Dự kiến 2 năm 2009-2010</t>
  </si>
  <si>
    <t>Gấp 1,8 lần</t>
  </si>
  <si>
    <t>Gấp 1,9 lần</t>
  </si>
  <si>
    <t>Thực hiện 2005</t>
  </si>
  <si>
    <t>&lt;18</t>
  </si>
  <si>
    <t xml:space="preserve">CHỈ TIÊU 2 NĂM CÒN LẠI 2009-2010 THEO VĂN KIỆN ĐẠI HỘI ĐẢNG X </t>
  </si>
  <si>
    <t>I</t>
  </si>
  <si>
    <t>II</t>
  </si>
  <si>
    <t>8 (5 năm)</t>
  </si>
  <si>
    <t>58-60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</si>
  <si>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</si>
  <si>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</si>
  <si>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</si>
  <si>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</si>
  <si>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</si>
  <si>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</si>
  <si>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</si>
  <si>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</si>
  <si>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</si>
  <si>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</si>
  <si>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</si>
  <si>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</si>
  <si>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</si>
  <si>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</si>
  <si>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</si>
  <si>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</si>
  <si>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</si>
  <si>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</si>
  <si>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</si>
  <si>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Bình quân/ Thực hiện 3 năm 2006-2008</t>
  </si>
  <si>
    <t>&lt;4,5</t>
  </si>
  <si>
    <t>Khó đạt</t>
  </si>
  <si>
    <t>Gấp 2,0 lần</t>
  </si>
  <si>
    <r>
      <t>25,0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</si>
  <si>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Bình quân năm 2007-2008. Năm 2006 chưa có chỉ tiêu cao đẳng nghề và trung cấp nghề.</t>
    </r>
  </si>
  <si>
    <t>Phụ lục 2</t>
  </si>
  <si>
    <t>Môc tiªu KH 2011-2015</t>
  </si>
  <si>
    <t>tiÒn tÖ - tÝn dông 2011-2015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</si>
  <si>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</si>
  <si>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</si>
  <si>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</si>
  <si>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</si>
  <si>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</si>
  <si>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</si>
  <si>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</si>
  <si>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</si>
  <si>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</si>
  <si>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</si>
  <si>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</si>
  <si>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</si>
  <si>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</si>
  <si>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</si>
  <si>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</si>
  <si>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</si>
  <si>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</si>
  <si>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</si>
  <si>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</si>
  <si>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</si>
  <si>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</si>
  <si>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</si>
  <si>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</si>
  <si>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</si>
  <si>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</si>
  <si>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</si>
  <si>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</si>
  <si>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</si>
  <si>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</si>
  <si>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</si>
  <si>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</si>
  <si>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</si>
  <si>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</si>
  <si>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</si>
  <si>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</si>
  <si>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</si>
  <si>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</si>
  <si>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</si>
  <si>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</si>
  <si>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</si>
  <si>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</si>
  <si>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</si>
  <si>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</si>
  <si>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</si>
  <si>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</si>
  <si>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</si>
  <si>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</si>
  <si>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</si>
  <si>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</si>
  <si>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</si>
  <si>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</si>
  <si>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</si>
  <si>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</si>
  <si>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</si>
  <si>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</si>
  <si>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</si>
  <si>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</si>
  <si>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</si>
  <si>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</si>
  <si>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</si>
  <si>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</si>
  <si>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</si>
  <si>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</si>
  <si>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</si>
  <si>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</si>
  <si>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</si>
  <si>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</si>
  <si>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</si>
  <si>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</si>
  <si>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</si>
  <si>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</si>
  <si>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</si>
  <si>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</si>
  <si>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</si>
  <si>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</si>
  <si>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</si>
  <si>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</si>
  <si>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</si>
  <si>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</si>
  <si>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</si>
  <si>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</si>
  <si>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</si>
  <si>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</si>
  <si>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</si>
  <si>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</si>
  <si>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</si>
  <si>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</si>
  <si>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</si>
  <si>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</si>
  <si>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</si>
  <si>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</si>
  <si>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</si>
  <si>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</si>
  <si>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</si>
  <si>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</si>
  <si>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</si>
  <si>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</si>
  <si>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</si>
  <si>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</si>
  <si>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</si>
  <si>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</si>
  <si>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</si>
  <si>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</si>
  <si>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</si>
  <si>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</si>
  <si>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</si>
  <si>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</si>
  <si>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</si>
  <si>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</si>
  <si>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</si>
  <si>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</si>
  <si>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</si>
  <si>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</si>
  <si>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</si>
  <si>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</si>
  <si>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</si>
  <si>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</si>
  <si>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</si>
  <si>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</si>
  <si>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</si>
  <si>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</si>
  <si>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</si>
  <si>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</si>
  <si>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</si>
  <si>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</si>
  <si>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</si>
  <si>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</si>
  <si>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</si>
  <si>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</si>
  <si>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</si>
  <si>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</si>
  <si>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</si>
  <si>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</si>
  <si>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</si>
  <si>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</si>
  <si>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</si>
  <si>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</si>
  <si>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</si>
  <si>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</si>
  <si>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</si>
  <si>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</si>
  <si>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</si>
  <si>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</si>
  <si>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2011-2015</t>
  </si>
  <si>
    <t>Ngành, lĩnh vực</t>
  </si>
  <si>
    <t>Chỉ số giá tiêu dùng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</si>
  <si>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</si>
  <si>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</si>
  <si>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</si>
  <si>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</si>
  <si>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</si>
  <si>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</si>
  <si>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</si>
  <si>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</si>
  <si>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</si>
  <si>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>Chỉ tiêu kinh tế</t>
  </si>
  <si>
    <t xml:space="preserve"> - Nông, lâm nghiệp và thuỷ sản</t>
  </si>
  <si>
    <t xml:space="preserve"> - Công nghiệp và xây dựng</t>
  </si>
  <si>
    <t xml:space="preserve"> - Dịch vụ</t>
  </si>
  <si>
    <t>Xuất nhập khẩu</t>
  </si>
  <si>
    <t xml:space="preserve"> - Tổng kim ngạch xuất khẩu hàng hóa</t>
  </si>
  <si>
    <t xml:space="preserve"> Tốc độ tăng xuất khẩu</t>
  </si>
  <si>
    <t xml:space="preserve"> - Tổng kim ngạch nhập khẩu hàng hóa</t>
  </si>
  <si>
    <t xml:space="preserve"> Tốc độ tăng nhập khẩu</t>
  </si>
  <si>
    <t>Chỉ tiêu xã hội</t>
  </si>
  <si>
    <t>- Mức giảm tỷ lệ hộ nghèo (theo chuẩn 2011-2015)</t>
  </si>
  <si>
    <t>- Số thuê bao điện thoại/ 100 dân</t>
  </si>
  <si>
    <t>- Số thuê bao internet băng thông rộng/100 dân</t>
  </si>
  <si>
    <t>- Tỷ lệ khu công nghiệp, khu chế xuất đang hoạt động có hệ thống xử lý nước thải tập trung đạt tiêu chuẩn môi trường</t>
  </si>
  <si>
    <t>- Nhập siêu so với xuất khẩu</t>
  </si>
  <si>
    <t>- Dân số trung bình</t>
  </si>
  <si>
    <t>- Tuổi thọ trung bình</t>
  </si>
  <si>
    <t>- Diện tích nhà ở bình quân sàn/người</t>
  </si>
  <si>
    <t>+ Diện tích nhà ở bình quân tại đô thị</t>
  </si>
  <si>
    <t>+ Diện tích nhà ở bình quân tại nông thôn</t>
  </si>
  <si>
    <t xml:space="preserve"> % </t>
  </si>
  <si>
    <t xml:space="preserve"> Tỷ USD </t>
  </si>
  <si>
    <t xml:space="preserve"> USD </t>
  </si>
  <si>
    <t xml:space="preserve"> Thuê bao </t>
  </si>
  <si>
    <t xml:space="preserve"> m2 </t>
  </si>
  <si>
    <t>- Số lao động được tạo việc làm</t>
  </si>
  <si>
    <t>- Tỷ lệ lao động qua đào tạo trong tổng số lao động đang làm việc trong nền kinh tế</t>
  </si>
  <si>
    <t>- Tỷ lệ thất nghiệp khu vực thành thị</t>
  </si>
  <si>
    <t>Triệu đồng</t>
  </si>
  <si>
    <t>Biểu mẫu số 1</t>
  </si>
  <si>
    <t xml:space="preserve"> Nghìn.tỷ đồng </t>
  </si>
  <si>
    <t>Chỉ tiêu Tài nguyên - Môi trường và phát triển bền vững</t>
  </si>
  <si>
    <t>- Tỷ lệ dân số nông thôn được cung cấp nước hợp vệ sinh</t>
  </si>
  <si>
    <t>- Tỷ lệ dân số thành thị được cung cấp nước sạch</t>
  </si>
  <si>
    <t>- Kim ngạch xuất khẩu/người</t>
  </si>
  <si>
    <t>- Thu gom chất thải rắn ở đô thị</t>
  </si>
  <si>
    <t xml:space="preserve"> Tuổi </t>
  </si>
  <si>
    <t>Tổng vốn đầu tư toàn xã hội so GRDP</t>
  </si>
  <si>
    <t>Tỷ lệ nợ chính quyền địa phương so tổng chi NSNN</t>
  </si>
  <si>
    <t xml:space="preserve"> - GRDP theo VNĐ</t>
  </si>
  <si>
    <t xml:space="preserve"> - Tổng GRDP qui USD </t>
  </si>
  <si>
    <t xml:space="preserve"> - GRDP bình quân đầu người</t>
  </si>
  <si>
    <t>- Tỷ lệ tăng dân số</t>
  </si>
  <si>
    <t>PHỤ LỤC II</t>
  </si>
  <si>
    <t>Thực hiện 2011-2015</t>
  </si>
  <si>
    <t>KH 2016</t>
  </si>
  <si>
    <t>KH 2017</t>
  </si>
  <si>
    <t>KH 2018</t>
  </si>
  <si>
    <t>KH 2019</t>
  </si>
  <si>
    <t>KH 2020</t>
  </si>
  <si>
    <t>Mục tiêu kế hoạch 5 năm 2016-2020</t>
  </si>
  <si>
    <t xml:space="preserve">Tổng sản phẩm trên địa bàn tỉnh, thành phố trực thuộc Trung ương (GRDP) </t>
  </si>
  <si>
    <t xml:space="preserve">GRDP (giá hiện hành) </t>
  </si>
  <si>
    <t>- Tỷ lệ che phủ rừng</t>
  </si>
  <si>
    <t xml:space="preserve">2016-2020  </t>
  </si>
  <si>
    <t>MỘT SỐ CHỈ TIÊU CHỦ YẾU KẾ HOẠCH PHÁT TRIỂN KINH TẾ - XÃ HỘI 5 NĂM 2016-2020</t>
  </si>
  <si>
    <t xml:space="preserve">    + Trong đó: tỷ lệ lao động nữ qua đào tạo</t>
  </si>
  <si>
    <t xml:space="preserve">    + Trong đó: tỷ lệ nữ thất nghiệp ở khu vực thành thị</t>
  </si>
  <si>
    <t>- Tỷ lệ thiếu việc làm khu vực nông thôn</t>
  </si>
  <si>
    <t xml:space="preserve">    + Trong đó: tỷ lệ nữ thiếu việc làm khu vực nông thôn</t>
  </si>
  <si>
    <t>Ước TH 2015</t>
  </si>
  <si>
    <t xml:space="preserve"> - Nông, lâm nghiệp và thuỷ sản </t>
  </si>
  <si>
    <t xml:space="preserve"> - Công nghiệp và xây dựng </t>
  </si>
  <si>
    <t xml:space="preserve"> - Dịch vụ </t>
  </si>
  <si>
    <t>Tốc độ tăng trưởng</t>
  </si>
  <si>
    <t>Tổng sản phẩm GRDP</t>
  </si>
  <si>
    <t>Cơ cấu :</t>
  </si>
  <si>
    <t>- Trung ương quản lý</t>
  </si>
  <si>
    <t>- Địa phương quản lý</t>
  </si>
  <si>
    <t xml:space="preserve"> + Vốn doanh nghiệp</t>
  </si>
  <si>
    <t xml:space="preserve"> + Vốn dân cư</t>
  </si>
  <si>
    <t>- Vốn đầu tư trực tiếp nước ngoài (FDI)</t>
  </si>
  <si>
    <t>Tổng vốn đầu tư toàn xã hội</t>
  </si>
  <si>
    <t>Cơ cấu kinh tế (Giá HH)</t>
  </si>
  <si>
    <t>79,5</t>
  </si>
  <si>
    <t>Hệ số ICOR</t>
  </si>
  <si>
    <t>Biểu mẫu số 2</t>
  </si>
  <si>
    <t>Thực hiện
 2011-2015</t>
  </si>
  <si>
    <t xml:space="preserve">Tốc độ tăng giá trị sản xuất </t>
  </si>
  <si>
    <t xml:space="preserve">Giá trị tăng thêm </t>
  </si>
  <si>
    <t>Tỷ đồng</t>
  </si>
  <si>
    <t>Sản phẩm chủ yếu</t>
  </si>
  <si>
    <t xml:space="preserve"> - Lương thực có hạt</t>
  </si>
  <si>
    <t xml:space="preserve"> Triệu tấn </t>
  </si>
  <si>
    <t xml:space="preserve">   Trong đó: + Thóc</t>
  </si>
  <si>
    <t xml:space="preserve">                    + Ngô</t>
  </si>
  <si>
    <t xml:space="preserve"> - Cà phê</t>
  </si>
  <si>
    <t xml:space="preserve"> - Cao su</t>
  </si>
  <si>
    <t xml:space="preserve"> Nghìn tấn </t>
  </si>
  <si>
    <t xml:space="preserve"> - Thịt hơi các loại</t>
  </si>
  <si>
    <t xml:space="preserve"> - Trồng rừng tập trung</t>
  </si>
  <si>
    <t xml:space="preserve"> Nghìn ha </t>
  </si>
  <si>
    <t xml:space="preserve"> - Tỷ lệ che phủ rừng</t>
  </si>
  <si>
    <t xml:space="preserve"> - Sản lượng thuỷ hải sản</t>
  </si>
  <si>
    <t xml:space="preserve"> - Diện tích nuôi trồng thuỷ sản</t>
  </si>
  <si>
    <t>Biểu mẫu số 3</t>
  </si>
  <si>
    <t>KẾ HOẠCH NGÀNH CÔNG NGHIỆP 5 NĂM 2016 - 2020</t>
  </si>
  <si>
    <t>GIÁ TRỊ TĂNG THÊM NGÀNH CÔNG NGHIỆP (giá 2010).</t>
  </si>
  <si>
    <t>SẢN PHẨM SX CHỦ YẾU</t>
  </si>
  <si>
    <t>Điện phát ra</t>
  </si>
  <si>
    <t>Tr.kwh</t>
  </si>
  <si>
    <t>Than khai thác</t>
  </si>
  <si>
    <t>Tấn</t>
  </si>
  <si>
    <t>Đá khai thác</t>
  </si>
  <si>
    <t>1000m3</t>
  </si>
  <si>
    <t>Gạch xây</t>
  </si>
  <si>
    <t>Tr.viên</t>
  </si>
  <si>
    <t>Nước máy sản xuất</t>
  </si>
  <si>
    <t>Tr.m3</t>
  </si>
  <si>
    <t>Trang inoffset</t>
  </si>
  <si>
    <t>Tr. trang</t>
  </si>
  <si>
    <t>Xi măng PC30</t>
  </si>
  <si>
    <t>1000 tấn</t>
  </si>
  <si>
    <t>Chế biến thức ăn gia súc, gia cầm.</t>
  </si>
  <si>
    <t>Sản phẩm gỗ chế biến</t>
  </si>
  <si>
    <t>M3</t>
  </si>
  <si>
    <t>Sản phẩm cà fê chế biến</t>
  </si>
  <si>
    <t>Số xã có điện lưới quốc gia</t>
  </si>
  <si>
    <t>Xã</t>
  </si>
  <si>
    <t>Tỷ lệ số hộ dân sử dụng điện</t>
  </si>
  <si>
    <t>Biểu mẫu số 4</t>
  </si>
  <si>
    <t>NĂNG LỰC TĂNG THÊM NGÀNH CÔNG NGHIỆP 5 NĂM 2016 - 2020</t>
  </si>
  <si>
    <t>Ngành công nghiệp</t>
  </si>
  <si>
    <t>Tổng công suất đến hết năm 2015</t>
  </si>
  <si>
    <t>Công suất tăng thêm giai đoạn 2011-2015</t>
  </si>
  <si>
    <t>Tổng công suất đến hết năm 2020</t>
  </si>
  <si>
    <t>Tổng số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</si>
  <si>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</si>
  <si>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</si>
  <si>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</si>
  <si>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</si>
  <si>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</si>
  <si>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</si>
  <si>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</si>
  <si>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</si>
  <si>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</si>
  <si>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</si>
  <si>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11=4+10</t>
  </si>
  <si>
    <t>Ngành điện</t>
  </si>
  <si>
    <t>MW</t>
  </si>
  <si>
    <t>Ngành xi măng</t>
  </si>
  <si>
    <t>Ngành chế biến khoáng sản</t>
  </si>
  <si>
    <t>a. Khai thác than</t>
  </si>
  <si>
    <t xml:space="preserve"> 1000 tấn </t>
  </si>
  <si>
    <t>b. Khai thác đá</t>
  </si>
  <si>
    <t xml:space="preserve">1000 m3 </t>
  </si>
  <si>
    <t>c. Khai thác vàng</t>
  </si>
  <si>
    <t xml:space="preserve">kg </t>
  </si>
  <si>
    <t>d. Khai thác chì kẽm</t>
  </si>
  <si>
    <t xml:space="preserve">1000 tấn </t>
  </si>
  <si>
    <t>Ngành ………...</t>
  </si>
  <si>
    <t>Ghi chú: (*) Số liệu điện sản xuất, điện nhập khẩu năm 2016 là số ước thực hiện; 2012-2020 và mục tiêu 5 năm 2011-2015 là lấy theo quy hoạch điện VII được Thủ tướng Chính phủ phê duyệt ngày 21/7/2016</t>
  </si>
  <si>
    <t>Đề nghị phòng KTĐN xem xét BX năng lực trên có sở dự án kêu gọi đầu tư 2016-2020</t>
  </si>
  <si>
    <t>Biểu mẫu số 5</t>
  </si>
  <si>
    <t>KẾ HOẠCH NGÀNH DỊCH VỤ 5 NĂM 2016 - 2020</t>
  </si>
  <si>
    <t>1.</t>
  </si>
  <si>
    <t>Thương mại</t>
  </si>
  <si>
    <t xml:space="preserve"> Tốc độ tăng tổng mức bán lẻ hàng hóa và dịch vụ tiêu dùng xã hội</t>
  </si>
  <si>
    <t>2.</t>
  </si>
  <si>
    <t>Vận tải</t>
  </si>
  <si>
    <t>- Tốc độ tăng khối lượng hàng hoá vận chuyển</t>
  </si>
  <si>
    <t>- Tốc độ tăng khối lượng hàng hoá luân chuyển</t>
  </si>
  <si>
    <t>- Tốc độ tăng khối lượng hành khách vận chuyển</t>
  </si>
  <si>
    <t>- Tốc độ tăng khối lượng hành khách luân chuyển</t>
  </si>
  <si>
    <t>3.</t>
  </si>
  <si>
    <t>Thông tin - Truyền thông</t>
  </si>
  <si>
    <t>- Số thuê bao điện thoại/100 dân</t>
  </si>
  <si>
    <t>4.</t>
  </si>
  <si>
    <t>Du lịch</t>
  </si>
  <si>
    <t xml:space="preserve">- Số lượt khách quốc tế đến địa phương </t>
  </si>
  <si>
    <t>- Số lượt khách du lịch nội địa</t>
  </si>
  <si>
    <t>Biểu mẫu số 6</t>
  </si>
  <si>
    <t>KẾ HOẠCH XUẤT NHẬP KHẨU 5 NĂM 2016 - 2020</t>
  </si>
  <si>
    <t xml:space="preserve"> XUẤT  KHẨU</t>
  </si>
  <si>
    <t>Tr.USD</t>
  </si>
  <si>
    <t>Tổng kim ngạch xuất khẩu</t>
  </si>
  <si>
    <t xml:space="preserve">Tr.đó: XK hàng hóa và DV  do địa phương TH </t>
  </si>
  <si>
    <t>Doanh nghiệp có vốn ĐTNN (không kể dầu thô)</t>
  </si>
  <si>
    <t xml:space="preserve">2. </t>
  </si>
  <si>
    <t>Sản phẩm xuất khẩu</t>
  </si>
  <si>
    <t>- Xi măng Điện Biên</t>
  </si>
  <si>
    <t>Ngìn.T</t>
  </si>
  <si>
    <t>- Vật liệu xây dựng</t>
  </si>
  <si>
    <t>- Nông lâm sản</t>
  </si>
  <si>
    <t xml:space="preserve">- Hàng hóa khác </t>
  </si>
  <si>
    <t>Tốc độ tăng</t>
  </si>
  <si>
    <t>NHẬP KHẨU</t>
  </si>
  <si>
    <t>Tổng kim ngạch nhập khẩu</t>
  </si>
  <si>
    <t xml:space="preserve">Tr.đ:DN địa phương </t>
  </si>
  <si>
    <t>Doanh nghiệp có vốn ĐTNN</t>
  </si>
  <si>
    <t>Sản phẩm nhập khẩu</t>
  </si>
  <si>
    <t xml:space="preserve">-Thiết bị dây truyền sản xuất, khai thác </t>
  </si>
  <si>
    <t>XUẤT SIÊU</t>
  </si>
  <si>
    <t>Xuất siêu/tổng kim ngạch xuất khẩu</t>
  </si>
  <si>
    <t>Tỉnh Điện Biên</t>
  </si>
  <si>
    <t>Biểu mẫu số 7</t>
  </si>
  <si>
    <t>KẾ HOẠCH GIÁO DỤC, ĐÀO TẠO VÀ KHOA HỌC CÔNG NGHỆ 5 NĂM 2016 - 2020</t>
  </si>
  <si>
    <t>GIÁO DỤC</t>
  </si>
  <si>
    <t>Giáo dục mầm non</t>
  </si>
  <si>
    <t>- Số học sinh mẫu giáo</t>
  </si>
  <si>
    <t xml:space="preserve">Học sinh </t>
  </si>
  <si>
    <t>Giáo dục tiểu học</t>
  </si>
  <si>
    <t>- Số học sinh tiểu học</t>
  </si>
  <si>
    <t>Giáo dục trung học cơ sở</t>
  </si>
  <si>
    <t>- Số học sinh trung học cơ sở</t>
  </si>
  <si>
    <t>Giáo dục trung học phổ thông</t>
  </si>
  <si>
    <t>- Số học sinh trung học phổ thông</t>
  </si>
  <si>
    <t>ĐÀO TẠO</t>
  </si>
  <si>
    <t>Đại học, cao đẳng</t>
  </si>
  <si>
    <t xml:space="preserve"> - Tuyển mới đại học và cao đẳng chính quy</t>
  </si>
  <si>
    <t xml:space="preserve"> Người </t>
  </si>
  <si>
    <t xml:space="preserve"> Tốc độ tăng tuyển mới đại học và cao đẳng chính quy</t>
  </si>
  <si>
    <t xml:space="preserve"> (%) </t>
  </si>
  <si>
    <t>Dạy nghề và trung cấp chuyên nghiệp</t>
  </si>
  <si>
    <t>- Tuyển mới trung cấp chuyên nghiệp</t>
  </si>
  <si>
    <t>- Tuyển mới cao đẳng nghề và trung cấp nghề</t>
  </si>
  <si>
    <t>Tốc độ tăng tuyển mới cao đẳng, trung cấp nghề</t>
  </si>
  <si>
    <t>- Tỷ lệ lao động qua đào tạo</t>
  </si>
  <si>
    <t>KHOA HỌC VÀ CÔNG NGHỆ</t>
  </si>
  <si>
    <t>Tỷ lệ giá trị sản phẩm công nghệ cao</t>
  </si>
  <si>
    <t>Tỷ lệ sáng chế đăng ký bảo hộ</t>
  </si>
  <si>
    <t>Tỷ lệ đổi mới công nghệ</t>
  </si>
  <si>
    <t>Biểu mẫu số 8</t>
  </si>
  <si>
    <t>KẾ HOẠCH CÁC LĨNH VỰC XÃ HỘI 5 NĂM 2016 - 2020</t>
  </si>
  <si>
    <t>DÂN SỐ</t>
  </si>
  <si>
    <t>Dân số trung bình (năm cuối kỳ)</t>
  </si>
  <si>
    <t>Người</t>
  </si>
  <si>
    <t>Trong đó: Dân số nông thôn</t>
  </si>
  <si>
    <t>- Mức giảm tỷ lệ sinh (năm cuối kỳ)</t>
  </si>
  <si>
    <t>LAO ĐỘNG</t>
  </si>
  <si>
    <t>Lực lượng lao động từ 15 tuổi trở lên</t>
  </si>
  <si>
    <t>Lao động từ 15 tuổi trở lên đang làm việc trong nền kinh tế quốc dân</t>
  </si>
  <si>
    <t>Cơ cấu lao động (năm cuối kỳ)</t>
  </si>
  <si>
    <t>- Nông, lâm nghiệp và thuỷ sản</t>
  </si>
  <si>
    <t xml:space="preserve"> STK</t>
  </si>
  <si>
    <t>Số lao động được tạo việc làm</t>
  </si>
  <si>
    <t>VĂN HÓA</t>
  </si>
  <si>
    <t>Số di tích được tu bổ</t>
  </si>
  <si>
    <t xml:space="preserve"> Di tích </t>
  </si>
  <si>
    <t xml:space="preserve"> </t>
  </si>
  <si>
    <t>TRẺ EM</t>
  </si>
  <si>
    <t>Tỷ lệ xã, phường phù hợp với trẻ em</t>
  </si>
  <si>
    <t>Tỷ lệ trẻ em có hoàn cảnh đặc biệt được chăm sóc</t>
  </si>
  <si>
    <t>Đ</t>
  </si>
  <si>
    <t>Y TẾ (năm cuối kỳ)</t>
  </si>
  <si>
    <t>Số giường bệnh/ 1 vạn dân (không tính giường của trạm y tế xã)</t>
  </si>
  <si>
    <t xml:space="preserve"> Giường </t>
  </si>
  <si>
    <t>- Số giường bệnh quốc lập/ vạn dân</t>
  </si>
  <si>
    <t>38,8</t>
  </si>
  <si>
    <t>- Số giường bệnh tư/ vạn dân</t>
  </si>
  <si>
    <t>Số bác sỹ/ 1 vạn dân</t>
  </si>
  <si>
    <t xml:space="preserve"> Bác sỹ </t>
  </si>
  <si>
    <t>&lt; 52</t>
  </si>
  <si>
    <t>&lt;52</t>
  </si>
  <si>
    <t>Tỷ suất chết trẻ em dưới 1 tuổi</t>
  </si>
  <si>
    <t>Tỷ suất chết của trẻ em dưới 5 tuổi</t>
  </si>
  <si>
    <t>Tỷ lệ trẻ em dưới 5 tuổi suy dinh dưỡng (cân nặng theo tuổi)</t>
  </si>
  <si>
    <t>Tỷ lệ trẻ em dưới 1 tuổi tiêm đủ 7 loại vaccine</t>
  </si>
  <si>
    <t>&gt; 94</t>
  </si>
  <si>
    <t>&gt;94</t>
  </si>
  <si>
    <t>Tỷ lệ xã có bác sỹ</t>
  </si>
  <si>
    <t>Tỷ lệ người dân tham gia bảo hiểm y tế</t>
  </si>
  <si>
    <t>≥ 98</t>
  </si>
  <si>
    <t>&gt; 98</t>
  </si>
  <si>
    <t>&gt;98</t>
  </si>
  <si>
    <t>Biểu mẫu số 9</t>
  </si>
  <si>
    <t>KẾ HOẠCH VỐN ĐẦU TƯ PHÁT TRIỂN TOÀN XÃ HỘI 5 NĂM 2016 - 2020 THEO NGUỒN VỐN</t>
  </si>
  <si>
    <t>ĐP</t>
  </si>
  <si>
    <t>TW</t>
  </si>
  <si>
    <t>Nguồn vốn</t>
  </si>
  <si>
    <t xml:space="preserve"> Nghìn tỷ đồng </t>
  </si>
  <si>
    <t>So với GDP theo chỉ tiêu Đại hội Đảng các cấp</t>
  </si>
  <si>
    <t>So với GRDP theo quy đổi theo Chỉ thị số 22/CT-TTg</t>
  </si>
  <si>
    <t>Vốn đầu tư thuộc ngân sách nhà nước</t>
  </si>
  <si>
    <t>So với tổng số</t>
  </si>
  <si>
    <t>Vốn trái phiếu Chính phủ</t>
  </si>
  <si>
    <t>Vốn tín dụng đầu tư nhà nước</t>
  </si>
  <si>
    <t>Vốn đầu tư của doanh nghiệp nhà nước</t>
  </si>
  <si>
    <t>Vốn đầu tư của dân cư và doanh nghiệp tư nhân</t>
  </si>
  <si>
    <t>Ghi chú: (*) Đầu tư trực tiếp nước ngoài là phần vốn góp của nhà đầu tư nước ngoài.</t>
  </si>
  <si>
    <t>Biểu mẫu số 10</t>
  </si>
  <si>
    <t>KẾ HOẠCH ĐẦU TƯ NGUỒN NGÂN SÁCH NHÀ NƯỚC VÀ TRÁI PHIẾU CHÍNH PHỦ
PHÂN THEO NGÀNH, LĨNH VỰC 5 NĂM 2016 - 2020</t>
  </si>
  <si>
    <t>Đơn vị: Tỷ đồng (giá hiện hành)</t>
  </si>
  <si>
    <t>Năm 2015</t>
  </si>
  <si>
    <t>Khoa học, công nghệ</t>
  </si>
  <si>
    <t>Biểu mẫu số 11</t>
  </si>
  <si>
    <t>Ước thực hiện 2011-2015</t>
  </si>
  <si>
    <t>Thu nội địa (không kể thu từ dầu thô)</t>
  </si>
  <si>
    <t>Tỷ trọng thu nội địa trên tổng thu NSNN</t>
  </si>
  <si>
    <t>Thu từ dầu thô</t>
  </si>
  <si>
    <t>Tỷ trọng thu từ dầu thô trên tổng thu NSNN</t>
  </si>
  <si>
    <t>Thu từ xuất, nhập khẩu</t>
  </si>
  <si>
    <t>Tỷ trọng thu từ xuất, nhập khẩu trên tổng thu NSNN</t>
  </si>
  <si>
    <t>Thu viện trợ không hoàn lại và quỹ dự trữ tài chính</t>
  </si>
  <si>
    <t>Tỷ trọng thu viện trợ trên tổng thu NSNN</t>
  </si>
  <si>
    <t>TỔNG CHI NSNN</t>
  </si>
  <si>
    <t>Chi thường xuyên</t>
  </si>
  <si>
    <t>Tỷ trọng chi thường xuyên so với tổng chi</t>
  </si>
  <si>
    <t>Chi đầu tư phát triển</t>
  </si>
  <si>
    <t>Tỷ trọng chi đầu tư phát triển so với tổng chi</t>
  </si>
  <si>
    <t>Chi trả nợ, viện trợ</t>
  </si>
  <si>
    <t>Tỷ trọng chi trả nợ, viện trợ so với tổng chi</t>
  </si>
  <si>
    <t>Tỷ trọng thu cân đối không bao gồm đầu tư từ tiền bán nhà đất, dầu thô, thu XNK, viện trợ</t>
  </si>
  <si>
    <t>Biểu mẫu số 12</t>
  </si>
  <si>
    <t>KẾ HOẠCH ĐẦU TƯ TRỰC TIẾP NƯỚC NGOÀI 5 NĂM 2016 - 2020</t>
  </si>
  <si>
    <t>Thực hiện
2011-2015</t>
  </si>
  <si>
    <t>Vốn đầu tư thực hiện</t>
  </si>
  <si>
    <t>Trong đó: Vốn nước ngoài</t>
  </si>
  <si>
    <t>Vốn cấp mới và tăng thêm</t>
  </si>
  <si>
    <t>Xuất khẩu (không kể dầu thô)</t>
  </si>
  <si>
    <t>Xuất khẩu (kể cả dầu thô)</t>
  </si>
  <si>
    <t>Nộp ngân sách</t>
  </si>
  <si>
    <t>Số lao động cuối kỳ báo cáo</t>
  </si>
  <si>
    <t xml:space="preserve"> Triệu người </t>
  </si>
  <si>
    <t>Biểu mẫu số 13</t>
  </si>
  <si>
    <t>ĐĂNG KÝ THÀNH LẬP DOANH NGHIỆP 5 NĂM 2016 - 2020</t>
  </si>
  <si>
    <t>Tổng số doanh nghiệp đăng ký thành lập</t>
  </si>
  <si>
    <t xml:space="preserve"> Nghìn doanh nghiệp </t>
  </si>
  <si>
    <t>Số doanh nghiệp đăng ký mới</t>
  </si>
  <si>
    <t>Tổng số vốn đăng ký của doanh nghiệp dân doanh thành lập mới</t>
  </si>
  <si>
    <t>Số doanh nghiệp hoạt động trong nền kinh tế (không tính các doanh nghiệp đã giải thể)</t>
  </si>
  <si>
    <t>Số doanh nghiệp giải thể hàng năm</t>
  </si>
  <si>
    <t xml:space="preserve">Ghi chú: </t>
  </si>
  <si>
    <t>Tổng số doanh nghiệp đăng ký thành lập là tổng số tính theo lũy kế đến hết năm báo cáo, không tính các doanh nghiệp đã giải thể</t>
  </si>
  <si>
    <t>Số doanh nghiệp hoạt động bằng tổng số trừ đi số giải thể và số đăng ký tạm ngừng hoạt động</t>
  </si>
  <si>
    <t xml:space="preserve">                                                                                                                                                                                                   Tỉnh Điện Biên</t>
  </si>
  <si>
    <t>Biểu mẫu số 14</t>
  </si>
  <si>
    <t>KẾ HOẠCH SẮP XẾP DOANH NGHIỆP NHÀ NƯỚC 
VÀ PHÁT TRIỂN DOANH NGHIỆP NGOÀI NHÀ NƯỚC 5 NĂM 2016 - 2020</t>
  </si>
  <si>
    <t>Doanh nghiệp nhà nước</t>
  </si>
  <si>
    <t>Số doanh nghiệp nhà nước đang hoạt động</t>
  </si>
  <si>
    <t>Doanh nghiệp</t>
  </si>
  <si>
    <t xml:space="preserve">    - Doanh nghiệp 100% vốn nhà nước</t>
  </si>
  <si>
    <t xml:space="preserve">    - Doanh nghiệp &gt; 50% vốn nhà nước</t>
  </si>
  <si>
    <t>Số doanh nghiệp nhà nước cổ phần hóa</t>
  </si>
  <si>
    <t>Số doanh nghiệp nhà nước thực hiện hình thức sắp xếp khác (Thoái vốn, giao bán, hợp nhất, giải thể, phá sản)</t>
  </si>
  <si>
    <t>Tổng vốn chủ sở hữu tại doanh nghiệp</t>
  </si>
  <si>
    <t>Tổng vốn điều lệ</t>
  </si>
  <si>
    <t>Đóng góp ngân sách</t>
  </si>
  <si>
    <t>Tổng doanh thu</t>
  </si>
  <si>
    <t>Tổng lợi nhuận</t>
  </si>
  <si>
    <t>Tổng nợ phải trả</t>
  </si>
  <si>
    <t>Doanh nghiệp ngoài nhà nước</t>
  </si>
  <si>
    <t>Số doanh nghiệp ngoài nhà nước đang hoạt động lũy kế đến kỳ báo cáo</t>
  </si>
  <si>
    <t>Số DN kinh doanh có lãi</t>
  </si>
  <si>
    <t>Số lao động trong doanh nghiệp</t>
  </si>
  <si>
    <t>Trong đó lao động nữ</t>
  </si>
  <si>
    <t>Thu nhập bình quân người lao động</t>
  </si>
  <si>
    <t>Triệu đồng/ tháng/ người</t>
  </si>
  <si>
    <t>Tổng vốn đầu tư thực hiện</t>
  </si>
  <si>
    <t>Doanh thu thuần</t>
  </si>
  <si>
    <t>Lợi nhuận trước thuế</t>
  </si>
  <si>
    <t>Đóng góp ngân sách nhà nước</t>
  </si>
  <si>
    <t>Tổng ngân sách thực hiện các chương trình hỗ trợ doanh nghiệp nhỏ và vừa trên địa bàn</t>
  </si>
  <si>
    <t>Ghi chú: Đề nghị Trung ương hỗ trợ 100% kinh phí trợ giúp đào tạo nguồn nhân lực cho DNNVV (Bộ Kế hoạch và Đầu tư trực tiếp tổ chức các khóa đào tạo cho địa phương)</t>
  </si>
  <si>
    <t xml:space="preserve">                                                                                                                                                                Tỉnh Điện Biên</t>
  </si>
  <si>
    <t>Biểu mẫu số 15</t>
  </si>
  <si>
    <t>DỰ KIẾN KINH PHÍ XÂY DỰNG CÁC DỰ ÁN QUY HOẠCH TRÌNH CẤP CÓ THẨM QUYỀN PHÊ DUYỆT 5 NĂM 2016 - 2020</t>
  </si>
  <si>
    <t>Đơn vị: Triệu đồng</t>
  </si>
  <si>
    <t>TT</t>
  </si>
  <si>
    <t>Danh mục quy hoạch</t>
  </si>
  <si>
    <t>Kinh phí xây dựng quy hoạch</t>
  </si>
  <si>
    <t>Trong nước</t>
  </si>
  <si>
    <t>Nước ngoài</t>
  </si>
  <si>
    <t>QUY HOẠCH DO THỦ TƯỚNG CHÍNH PHỦ PHÊ DUYỆT</t>
  </si>
  <si>
    <t xml:space="preserve"> Dự án lập, điều chỉnh quy hoạch, kế hoạch sử dụng đất cấp tỉnh giai đoạn 2016-2020</t>
  </si>
  <si>
    <t>QUY HOẠCH DO BỘ TRƯỞNG/THỦ TRƯỞNG CƠ QUAN NGANG BỘ/CHỦ TỊCH UBND CẤP TỈNH PHÊ DUYỆT</t>
  </si>
  <si>
    <t xml:space="preserve"> Quy hoạch tổng thể phát triển KT-XH huyện Điện Biên đến năm 2030</t>
  </si>
  <si>
    <t xml:space="preserve"> Quy hoạch tổng thể phát triển KT-XH TP Điện Biên Phủ đến năm 2030</t>
  </si>
  <si>
    <t>Quy hoạch xây dựng vùng tỉnh Điện Biên diện tích 9.562,9 km2</t>
  </si>
  <si>
    <t xml:space="preserve">Điều chỉnh quy hoạch chung xây dựng đô thị huyện lỵ Mường Nhé, huyện Mường Nhé, tỉnh Điên Biên tỷ lệ 1/2000 </t>
  </si>
  <si>
    <t>Điều chỉnh quy hoạch chung xây dựng đô thị huyện lỵ Mường Ảng, huyện Mường Ảng, tỉnh Điên Biên tỷ lệ 1/2000</t>
  </si>
  <si>
    <t>Quy hoạch phân khu phía Tây Bắc TP ĐBP tỷ lệ 1/5000 diện tích 300 ha</t>
  </si>
  <si>
    <t>Quy hoạch phân khu phía Đông Bắc TP ĐBP tỷ lệ 1/5000 diện tích 400 ha</t>
  </si>
  <si>
    <t>Quy hoạch chi tiết khu đa chức năng dọc trục đường 60 m TP ĐBP (chuyển một phần khối lượng từ năm 2015 sang năm 2016)</t>
  </si>
  <si>
    <t>Quy hoạch chi tiết khu trung tâm hiện hữu TP ĐBP tỷ lệ 1/500 từ đồi E đến cầu trắng (chuyển một phần khối lượng từ năm 2015 sang năm 2016) diện tích 100 ha</t>
  </si>
  <si>
    <t>Quy hoạch chi tiết tỷ lệ 1/500 khu phía Tây Quốc Lộ 12 kéo dài từ hầm Đờ Cát đến làng trẻ em SOS TP ĐBP diện tích 30 ha</t>
  </si>
  <si>
    <t>Dự án quy hoạch chi tiết khu chợ đầu mối tỷ lệ 1/500  từ trung đoàn cảnh sát cơ động đến cầu C4 huyện Điện Biên diện tích khoảng 20 ha</t>
  </si>
  <si>
    <t xml:space="preserve">Dự án quy hoạch chi tiết phường Nam Thanh TP ĐBP tỷ lệ 1/500 diện tích 60  ha </t>
  </si>
  <si>
    <t>Dự án quy hoạch chi tiết khu Bắc kênh hữu  TP ĐBP tỷ lệ 1/500 diện tích 30 ha</t>
  </si>
  <si>
    <t>Điều chỉnh Quy hoạch phát triển Bưu chính, Viễn thông và Công nghệ thông tin tỉnh Điện Biên giai đoạn đến năm 2020</t>
  </si>
  <si>
    <t>Quy hoạch tiêu thoát lũ khu vực lòng chảo Điện Biên giai đoạn 2015-2020, định hướng 2030</t>
  </si>
  <si>
    <t xml:space="preserve">Rà soát, điều chỉnh quy hoạch tổng thể Phát triển thủy lợi giai đoạn 2015–2020, định hướng đến năm 2030 </t>
  </si>
  <si>
    <t>Quy hoạch bảo vệ môi trường tỉnh Điện Biên</t>
  </si>
  <si>
    <t xml:space="preserve"> Dự án lập, điều chỉnh quy hoạch, kế hoạch sử dụng đất hàng năm cấp huyện giai đoạn 2016-2020</t>
  </si>
  <si>
    <t>Quy hoạch chi tiết thị trấn Tuần Giáo</t>
  </si>
  <si>
    <t>Quy hoạch xây dựng đô thị thị trấn Tuần Giáo</t>
  </si>
  <si>
    <t xml:space="preserve"> Quy hoạch chi tiết các bản văn hóa trên địa bàn thành phố Điện Biên Phủ</t>
  </si>
  <si>
    <t>Quy hoạch chi tiết khu trung tâm hành chính xã Thanh Minh</t>
  </si>
  <si>
    <t>Quy hoạch Phát triển Sự nghiệp Giáo dục và Đào tạo tỉnh Điện Biên giai đoạn 2016-2020, định hướng đến năm 2025.</t>
  </si>
  <si>
    <t>Quy hoạch Phát triển Sự nghiệp Giáo dục và Đào tạo trường Cao đẳng Sư phạm tỉnh Điện Biên giai đoạn 2016-2020, định hướng đến năm 2025.</t>
  </si>
  <si>
    <t xml:space="preserve">  Tỉnh Điện Biên        </t>
  </si>
  <si>
    <t>Biểu mẫu số 16</t>
  </si>
  <si>
    <t>KẾ HOẠCH PHÁT TRIỂN KINH TẾ TẬP THỂ 5 NĂM 2016-2020</t>
  </si>
  <si>
    <t>Mục tiêu KH 2016-2020</t>
  </si>
  <si>
    <t>Hợp tác xã</t>
  </si>
  <si>
    <t>Tổng số  hợp tác xã</t>
  </si>
  <si>
    <t>Số hợp tác xã thành lập mới</t>
  </si>
  <si>
    <t>Số hợp tác xã giải thể</t>
  </si>
  <si>
    <t>Tổng số thành viên hợp tác xã</t>
  </si>
  <si>
    <t>Tổng số lao động trong hợp tác xã</t>
  </si>
  <si>
    <t>Liên hiệp hợp tác xã</t>
  </si>
  <si>
    <t>Tổng số liên hiệp hợp tác xã</t>
  </si>
  <si>
    <t>Số liên hiệp hợp tác xã thành lập mới</t>
  </si>
  <si>
    <t>Số liên hiệp hợp tác xã giải thể</t>
  </si>
  <si>
    <t>Tổng số hợp tác xã thành viên</t>
  </si>
  <si>
    <t xml:space="preserve">Tổng số lao động trong liên hiệp hợp tác xã </t>
  </si>
  <si>
    <t xml:space="preserve">Tổ hợp tác </t>
  </si>
  <si>
    <t>Tổng số tổ hợp tác</t>
  </si>
  <si>
    <t>Tổ hợp tác</t>
  </si>
  <si>
    <t>Tổng số thành viên tổ hợp tác</t>
  </si>
  <si>
    <t>Thành viên</t>
  </si>
  <si>
    <t xml:space="preserve">Tổng số lao động trong tổ hợp tác </t>
  </si>
  <si>
    <t>Số lao động là thành viên tổ hợp tác</t>
  </si>
  <si>
    <t>Số lao động là thành viên của tổ hợp tác đăng ký chứng thực</t>
  </si>
  <si>
    <r>
      <t xml:space="preserve">Vốn đầu tư trực tiếp nước ngoài </t>
    </r>
    <r>
      <rPr>
        <b/>
        <vertAlign val="superscript"/>
        <sz val="13"/>
        <rFont val="Times New Roman"/>
        <family val="1"/>
      </rPr>
      <t>(*)</t>
    </r>
  </si>
  <si>
    <r>
      <t xml:space="preserve">Trong đó: </t>
    </r>
    <r>
      <rPr>
        <sz val="14"/>
        <rFont val="Times New Roman"/>
        <family val="1"/>
      </rPr>
      <t>Số lao động là thành viên hợp tác xã</t>
    </r>
  </si>
  <si>
    <r>
      <t>Trong đó:</t>
    </r>
    <r>
      <rPr>
        <sz val="14"/>
        <rFont val="Times New Roman"/>
        <family val="1"/>
      </rPr>
      <t xml:space="preserve"> Số tổ hợp tác đăng ký chứng thực</t>
    </r>
  </si>
  <si>
    <r>
      <t>Trong đó:</t>
    </r>
    <r>
      <rPr>
        <sz val="14"/>
        <rFont val="Times New Roman"/>
        <family val="1"/>
      </rPr>
      <t xml:space="preserve"> Số thành viên của tổ hợp tác đăng ký chứng thực</t>
    </r>
  </si>
  <si>
    <t xml:space="preserve">                                                                                                                             Tỉnh Điện Biên</t>
  </si>
  <si>
    <t xml:space="preserve"> Triệu USD </t>
  </si>
  <si>
    <t>KẾ HOẠCH NGÀNH NÔNG, LÂM NGHIỆP VÀ THỦY SẢN 5 NĂM 2016 - 2020</t>
  </si>
  <si>
    <t xml:space="preserve"> Nghìn lượt người </t>
  </si>
  <si>
    <t xml:space="preserve"> - Mặt hàng khác</t>
  </si>
  <si>
    <t>CÂN ĐỐI NGÂN SÁCH NHÀ NƯỚC 5 NĂM 2016 - 2020</t>
  </si>
  <si>
    <t xml:space="preserve"> - Doanh nghiệp Nhà nước</t>
  </si>
  <si>
    <t xml:space="preserve"> - Cây Mắc ca</t>
  </si>
  <si>
    <t>Nghìn ha</t>
  </si>
  <si>
    <t>Quy hoạch cải tạo đô thị khu hiện hữu thành phố</t>
  </si>
  <si>
    <t>TỶ giá hối đoái (USD/VN đồng)</t>
  </si>
  <si>
    <t>-11,76</t>
  </si>
  <si>
    <t>1000 Tấn</t>
  </si>
  <si>
    <t xml:space="preserve"> - Vốn ngoài nhà nước</t>
  </si>
  <si>
    <t>Chi khác</t>
  </si>
  <si>
    <t>&lt;600.000</t>
  </si>
  <si>
    <t>- Tỷ lệ các cơ sở khám chữa bệnh xử lý chất thải y tế đạt tiêu chuẩn</t>
  </si>
  <si>
    <t>- Tốc độ tăng dân số hằng năm</t>
  </si>
  <si>
    <t>Tỷ số tử vong mẹ trên 100.000 trẻ đẻ sống</t>
  </si>
  <si>
    <t>Bà mẹ</t>
  </si>
  <si>
    <t>Tỷ lệ xã đạt Tiêu chí quốc gia về y tế xã</t>
  </si>
  <si>
    <r>
      <t xml:space="preserve"> %</t>
    </r>
    <r>
      <rPr>
        <sz val="10"/>
        <color indexed="10"/>
        <rFont val="Times New Roman"/>
        <family val="1"/>
      </rPr>
      <t xml:space="preserve">o </t>
    </r>
  </si>
  <si>
    <t>0,68%</t>
  </si>
  <si>
    <t>1,51%</t>
  </si>
  <si>
    <t>0,70%</t>
  </si>
  <si>
    <t>0,87%</t>
  </si>
  <si>
    <t>0,91%</t>
  </si>
  <si>
    <t>0,82%</t>
  </si>
  <si>
    <t>0,60%</t>
  </si>
  <si>
    <t>0,29%</t>
  </si>
  <si>
    <t>Vốn huy động khác (Bộ ngành TW)</t>
  </si>
  <si>
    <t xml:space="preserve">TỔNG THU CÂN ĐỐI </t>
  </si>
  <si>
    <t>Chi năm 2016 do chưa có chương trình mục tiêu quốc gia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</si>
</sst>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_(* #,##0.0_);_(* \(#,##0.0\);_(* &quot;-&quot;??_);_(@_)"/>
    <numFmt numFmtId="175" formatCode="#,##0.0"/>
    <numFmt numFmtId="176" formatCode="#,##0.000"/>
    <numFmt numFmtId="177" formatCode="0.0"/>
    <numFmt numFmtId="178" formatCode="_(* #,##0_);_(* \(#,##0\);_(* &quot;-&quot;??_);_(@_)"/>
    <numFmt numFmtId="179" formatCode="0.000"/>
    <numFmt numFmtId="180" formatCode="#,##0\ &quot;€&quot;;[Red]\-#,##0\ &quot;€&quot;"/>
    <numFmt numFmtId="181" formatCode="&quot;\&quot;#,##0;[Red]&quot;\&quot;\-#,##0"/>
    <numFmt numFmtId="182" formatCode="&quot;\&quot;#,##0.00;[Red]&quot;\&quot;\-#,##0.00"/>
    <numFmt numFmtId="183" formatCode="\$#,##0\ ;\(\$#,##0\)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VND&quot;#,##0_);[Red]\(&quot;VND&quot;#,##0\)"/>
    <numFmt numFmtId="189" formatCode="#,##0;\(#,##0\)"/>
    <numFmt numFmtId="190" formatCode="\t0.00%"/>
    <numFmt numFmtId="191" formatCode="\t#\ ??/??"/>
    <numFmt numFmtId="192" formatCode="m/d"/>
    <numFmt numFmtId="193" formatCode="&quot;ß&quot;#,##0;\-&quot;&quot;\ß&quot;&quot;#,##0"/>
    <numFmt numFmtId="194" formatCode="#,##0.00\ &quot;F&quot;;[Red]\-#,##0.00\ &quot;F&quot;"/>
    <numFmt numFmtId="195" formatCode="_-* #,##0\ &quot;F&quot;_-;\-* #,##0\ &quot;F&quot;_-;_-* &quot;-&quot;\ &quot;F&quot;_-;_-@_-"/>
    <numFmt numFmtId="196" formatCode="#,##0\ &quot;F&quot;;[Red]\-#,##0\ &quot;F&quot;"/>
    <numFmt numFmtId="197" formatCode="#,##0.00\ &quot;F&quot;;\-#,##0.00\ &quot;F&quot;"/>
    <numFmt numFmtId="198" formatCode="#,##0.00000000"/>
    <numFmt numFmtId="199" formatCode="_(* #,##0.000_);_(* \(#,##0.000\);_(* &quot;-&quot;??_);_(@_)"/>
    <numFmt numFmtId="200" formatCode="_-* #,##0.0\ _₫_-;\-* #,##0.0\ _₫_-;_-* &quot;-&quot;?\ _₫_-;_-@_-"/>
    <numFmt numFmtId="201" formatCode="_(* #,##0.0000_);_(* \(#,##0.0000\);_(* &quot;-&quot;??_);_(@_)"/>
    <numFmt numFmtId="202" formatCode="#,##0.0000"/>
    <numFmt numFmtId="203" formatCode="_(* #,##0.000000_);_(* \(#,##0.000000\);_(* &quot;-&quot;??_);_(@_)"/>
    <numFmt numFmtId="204" formatCode="#,##0.00;[Red]#,##0.00"/>
    <numFmt numFmtId="205" formatCode="#,##0.00000"/>
    <numFmt numFmtId="206" formatCode="_(* #,##0.0_);_(* \(#,##0.0\);_(* &quot;-&quot;?_);_(@_)"/>
    <numFmt numFmtId="207" formatCode="_(* #,##0.000_);_(* \(#,##0.000\);_(* &quot;-&quot;???_);_(@_)"/>
    <numFmt numFmtId="208" formatCode="_-* #,##0.000000\ _₫_-;\-* #,##0.000000\ _₫_-;_-* &quot;-&quot;?\ _₫_-;_-@_-"/>
    <numFmt numFmtId="209" formatCode="0.000%"/>
    <numFmt numFmtId="210" formatCode="_-* #,##0.000\ _₫_-;\-* #,##0.000\ _₫_-;_-* &quot;-&quot;??\ _₫_-;_-@_-"/>
    <numFmt numFmtId="211" formatCode="_(* #,##0.00_);_(* \(#,##0.00\);_(* &quot;-&quot;?_);_(@_)"/>
    <numFmt numFmtId="212" formatCode="_-* #,##0\ _₫_-;\-* #,##0\ _₫_-;_-* &quot;-&quot;??\ _₫_-;_-@_-"/>
    <numFmt numFmtId="213" formatCode="#,##0;[Red]#,##0"/>
    <numFmt numFmtId="214" formatCode="_-* #,##0.0\ _₫_-;\-* #,##0.0\ _₫_-;_-* &quot;-&quot;??\ _₫_-;_-@_-"/>
    <numFmt numFmtId="215" formatCode="0.0%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0000000"/>
    <numFmt numFmtId="221" formatCode="0.0000000"/>
    <numFmt numFmtId="222" formatCode="0.000000"/>
    <numFmt numFmtId="223" formatCode="0.00000"/>
    <numFmt numFmtId="224" formatCode="0.0000"/>
  </numFmts>
  <fonts count="141">
    <font>
      <sz val="10"/>
      <name val="Arial"/>
      <family val="0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8"/>
      <name val="Arial"/>
      <family val="2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vertAlign val="superscript"/>
      <sz val="12"/>
      <name val="Times New Roman"/>
      <family val="1"/>
    </font>
    <font>
      <b/>
      <sz val="10"/>
      <color indexed="8"/>
      <name val=".VnTime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3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u val="single"/>
      <sz val="12"/>
      <name val="Times New Roman"/>
      <family val="1"/>
    </font>
    <font>
      <i/>
      <sz val="13"/>
      <name val="Times New Roman"/>
      <family val="1"/>
    </font>
    <font>
      <b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0"/>
      <color indexed="62"/>
      <name val="Tahoma"/>
      <family val="2"/>
    </font>
    <font>
      <sz val="10"/>
      <name val="Helv"/>
      <family val="2"/>
    </font>
    <font>
      <sz val="13"/>
      <color indexed="62"/>
      <name val="Tahoma"/>
      <family val="2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0"/>
      <name val="Times New Roman"/>
      <family val="1"/>
    </font>
    <font>
      <i/>
      <sz val="13"/>
      <color indexed="8"/>
      <name val="Times New Roman"/>
      <family val="1"/>
    </font>
    <font>
      <b/>
      <vertAlign val="superscript"/>
      <sz val="13"/>
      <name val="Times New Roman"/>
      <family val="1"/>
    </font>
    <font>
      <b/>
      <sz val="13"/>
      <name val=".VnTime"/>
      <family val="2"/>
    </font>
    <font>
      <b/>
      <sz val="13"/>
      <name val="Arial"/>
      <family val="2"/>
    </font>
    <font>
      <u val="single"/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20"/>
      <name val="Tahoma"/>
      <family val="2"/>
    </font>
    <font>
      <sz val="10"/>
      <color indexed="8"/>
      <name val="MS Sans Serif"/>
      <family val="2"/>
    </font>
    <font>
      <b/>
      <sz val="14"/>
      <name val="Tahoma"/>
      <family val="2"/>
    </font>
    <font>
      <b/>
      <sz val="14"/>
      <color indexed="62"/>
      <name val="Tahoma"/>
      <family val="2"/>
    </font>
    <font>
      <sz val="11"/>
      <color indexed="8"/>
      <name val="Times New Roman"/>
      <family val="1"/>
    </font>
    <font>
      <sz val="13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0" borderId="0">
      <alignment/>
      <protection/>
    </xf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178" fontId="39" fillId="0" borderId="1" applyNumberFormat="0" applyFont="0" applyBorder="0" applyAlignment="0">
      <protection/>
    </xf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25" fillId="25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126" fillId="26" borderId="2" applyNumberFormat="0" applyAlignment="0" applyProtection="0"/>
    <xf numFmtId="0" fontId="127" fillId="2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19" fillId="0" borderId="0">
      <alignment/>
      <protection/>
    </xf>
    <xf numFmtId="43" fontId="53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>
      <alignment/>
      <protection/>
    </xf>
    <xf numFmtId="0" fontId="0" fillId="0" borderId="0" applyFont="0" applyFill="0" applyBorder="0" applyAlignment="0" applyProtection="0"/>
    <xf numFmtId="191" fontId="0" fillId="0" borderId="0">
      <alignment/>
      <protection/>
    </xf>
    <xf numFmtId="0" fontId="1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9" fillId="28" borderId="0" applyNumberFormat="0" applyBorder="0" applyAlignment="0" applyProtection="0"/>
    <xf numFmtId="38" fontId="11" fillId="29" borderId="0" applyNumberFormat="0" applyBorder="0" applyAlignment="0" applyProtection="0"/>
    <xf numFmtId="0" fontId="42" fillId="0" borderId="4" applyNumberFormat="0" applyAlignment="0" applyProtection="0"/>
    <xf numFmtId="0" fontId="42" fillId="0" borderId="5">
      <alignment horizontal="left" vertical="center"/>
      <protection/>
    </xf>
    <xf numFmtId="0" fontId="130" fillId="0" borderId="6" applyNumberFormat="0" applyFill="0" applyAlignment="0" applyProtection="0"/>
    <xf numFmtId="0" fontId="131" fillId="0" borderId="7" applyNumberFormat="0" applyFill="0" applyAlignment="0" applyProtection="0"/>
    <xf numFmtId="0" fontId="132" fillId="0" borderId="8" applyNumberFormat="0" applyFill="0" applyAlignment="0" applyProtection="0"/>
    <xf numFmtId="0" fontId="132" fillId="0" borderId="0" applyNumberFormat="0" applyFill="0" applyBorder="0" applyAlignment="0" applyProtection="0"/>
    <xf numFmtId="0" fontId="69" fillId="0" borderId="0" applyProtection="0">
      <alignment/>
    </xf>
    <xf numFmtId="0" fontId="42" fillId="0" borderId="0" applyProtection="0">
      <alignment/>
    </xf>
    <xf numFmtId="0" fontId="33" fillId="0" borderId="0" applyNumberFormat="0" applyFill="0" applyBorder="0" applyAlignment="0" applyProtection="0"/>
    <xf numFmtId="0" fontId="133" fillId="30" borderId="2" applyNumberFormat="0" applyAlignment="0" applyProtection="0"/>
    <xf numFmtId="10" fontId="11" fillId="31" borderId="9" applyNumberFormat="0" applyBorder="0" applyAlignment="0" applyProtection="0"/>
    <xf numFmtId="0" fontId="134" fillId="0" borderId="10" applyNumberFormat="0" applyFill="0" applyAlignment="0" applyProtection="0"/>
    <xf numFmtId="3" fontId="43" fillId="0" borderId="11" applyNumberFormat="0" applyAlignment="0">
      <protection/>
    </xf>
    <xf numFmtId="3" fontId="44" fillId="0" borderId="11" applyNumberFormat="0" applyAlignment="0">
      <protection/>
    </xf>
    <xf numFmtId="3" fontId="45" fillId="0" borderId="11" applyNumberForma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0" borderId="0" applyNumberFormat="0" applyFont="0" applyFill="0" applyAlignment="0">
      <protection/>
    </xf>
    <xf numFmtId="0" fontId="135" fillId="32" borderId="0" applyNumberFormat="0" applyBorder="0" applyAlignment="0" applyProtection="0"/>
    <xf numFmtId="0" fontId="19" fillId="0" borderId="0">
      <alignment/>
      <protection/>
    </xf>
    <xf numFmtId="37" fontId="70" fillId="0" borderId="0">
      <alignment/>
      <protection/>
    </xf>
    <xf numFmtId="188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53" fillId="0" borderId="0">
      <alignment/>
      <protection/>
    </xf>
    <xf numFmtId="0" fontId="20" fillId="0" borderId="0">
      <alignment/>
      <protection/>
    </xf>
    <xf numFmtId="0" fontId="0" fillId="33" borderId="12" applyNumberFormat="0" applyFont="0" applyAlignment="0" applyProtection="0"/>
    <xf numFmtId="0" fontId="136" fillId="26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0">
      <alignment/>
      <protection/>
    </xf>
    <xf numFmtId="194" fontId="41" fillId="0" borderId="14">
      <alignment horizontal="right" vertical="center"/>
      <protection/>
    </xf>
    <xf numFmtId="195" fontId="41" fillId="0" borderId="14">
      <alignment horizontal="center"/>
      <protection/>
    </xf>
    <xf numFmtId="0" fontId="137" fillId="0" borderId="0" applyNumberFormat="0" applyFill="0" applyBorder="0" applyAlignment="0" applyProtection="0"/>
    <xf numFmtId="3" fontId="48" fillId="0" borderId="11" applyNumberFormat="0" applyAlignment="0">
      <protection/>
    </xf>
    <xf numFmtId="3" fontId="4" fillId="0" borderId="15" applyNumberFormat="0" applyAlignment="0">
      <protection/>
    </xf>
    <xf numFmtId="0" fontId="138" fillId="0" borderId="16" applyNumberFormat="0" applyFill="0" applyAlignment="0" applyProtection="0"/>
    <xf numFmtId="196" fontId="41" fillId="0" borderId="0">
      <alignment/>
      <protection/>
    </xf>
    <xf numFmtId="197" fontId="41" fillId="0" borderId="9">
      <alignment/>
      <protection/>
    </xf>
    <xf numFmtId="0" fontId="13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>
      <alignment/>
      <protection/>
    </xf>
    <xf numFmtId="0" fontId="46" fillId="0" borderId="0">
      <alignment/>
      <protection/>
    </xf>
    <xf numFmtId="172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54" fillId="0" borderId="0">
      <alignment/>
      <protection/>
    </xf>
    <xf numFmtId="186" fontId="53" fillId="0" borderId="0" applyFont="0" applyFill="0" applyBorder="0" applyAlignment="0" applyProtection="0"/>
    <xf numFmtId="180" fontId="55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1" fillId="0" borderId="0">
      <alignment vertical="center"/>
      <protection/>
    </xf>
  </cellStyleXfs>
  <cellXfs count="12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4" fontId="1" fillId="0" borderId="15" xfId="5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75" fontId="14" fillId="0" borderId="15" xfId="5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175" fontId="1" fillId="0" borderId="15" xfId="50" applyNumberFormat="1" applyFont="1" applyBorder="1" applyAlignment="1">
      <alignment horizontal="center" vertical="center"/>
    </xf>
    <xf numFmtId="3" fontId="13" fillId="0" borderId="17" xfId="50" applyNumberFormat="1" applyFont="1" applyBorder="1" applyAlignment="1">
      <alignment horizontal="center" vertical="center"/>
    </xf>
    <xf numFmtId="3" fontId="1" fillId="0" borderId="15" xfId="5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15" xfId="5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5" xfId="5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Border="1" applyAlignment="1" quotePrefix="1">
      <alignment vertical="center" wrapText="1"/>
    </xf>
    <xf numFmtId="0" fontId="1" fillId="0" borderId="0" xfId="0" applyFont="1" applyAlignment="1">
      <alignment horizontal="center" vertical="center"/>
    </xf>
    <xf numFmtId="3" fontId="14" fillId="0" borderId="15" xfId="5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4" fontId="10" fillId="0" borderId="15" xfId="50" applyNumberFormat="1" applyFont="1" applyBorder="1" applyAlignment="1">
      <alignment horizontal="center" vertical="center" wrapText="1"/>
    </xf>
    <xf numFmtId="4" fontId="14" fillId="0" borderId="15" xfId="5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75" fontId="1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177" fontId="21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175" fontId="21" fillId="0" borderId="15" xfId="0" applyNumberFormat="1" applyFont="1" applyBorder="1" applyAlignment="1">
      <alignment horizontal="center" vertical="center" wrapText="1"/>
    </xf>
    <xf numFmtId="177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 quotePrefix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22" xfId="0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75" fontId="21" fillId="0" borderId="15" xfId="0" applyNumberFormat="1" applyFont="1" applyFill="1" applyBorder="1" applyAlignment="1">
      <alignment horizontal="center" vertical="center" wrapText="1"/>
    </xf>
    <xf numFmtId="176" fontId="2" fillId="0" borderId="15" xfId="50" applyNumberFormat="1" applyFont="1" applyBorder="1" applyAlignment="1">
      <alignment horizontal="center" vertical="center"/>
    </xf>
    <xf numFmtId="176" fontId="2" fillId="0" borderId="15" xfId="50" applyNumberFormat="1" applyFont="1" applyFill="1" applyBorder="1" applyAlignment="1">
      <alignment horizontal="center" vertical="center"/>
    </xf>
    <xf numFmtId="176" fontId="13" fillId="0" borderId="15" xfId="50" applyNumberFormat="1" applyFont="1" applyBorder="1" applyAlignment="1">
      <alignment horizontal="center" vertical="center"/>
    </xf>
    <xf numFmtId="3" fontId="2" fillId="0" borderId="15" xfId="50" applyNumberFormat="1" applyFont="1" applyBorder="1" applyAlignment="1">
      <alignment horizontal="center" vertical="center"/>
    </xf>
    <xf numFmtId="176" fontId="1" fillId="0" borderId="15" xfId="5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 quotePrefix="1">
      <alignment vertical="center" wrapText="1"/>
    </xf>
    <xf numFmtId="0" fontId="14" fillId="0" borderId="22" xfId="0" applyFont="1" applyBorder="1" applyAlignment="1" quotePrefix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175" fontId="23" fillId="0" borderId="15" xfId="50" applyNumberFormat="1" applyFont="1" applyBorder="1" applyAlignment="1">
      <alignment horizontal="center" vertical="center"/>
    </xf>
    <xf numFmtId="3" fontId="2" fillId="0" borderId="15" xfId="50" applyNumberFormat="1" applyFont="1" applyFill="1" applyBorder="1" applyAlignment="1">
      <alignment horizontal="center" vertical="center"/>
    </xf>
    <xf numFmtId="9" fontId="1" fillId="0" borderId="18" xfId="107" applyFont="1" applyBorder="1" applyAlignment="1">
      <alignment horizontal="center" vertical="center"/>
    </xf>
    <xf numFmtId="10" fontId="1" fillId="0" borderId="0" xfId="107" applyNumberFormat="1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3" fontId="25" fillId="0" borderId="15" xfId="50" applyNumberFormat="1" applyFont="1" applyBorder="1" applyAlignment="1">
      <alignment horizontal="center" vertical="center"/>
    </xf>
    <xf numFmtId="176" fontId="24" fillId="0" borderId="15" xfId="50" applyNumberFormat="1" applyFont="1" applyBorder="1" applyAlignment="1">
      <alignment horizontal="center" vertical="center"/>
    </xf>
    <xf numFmtId="4" fontId="25" fillId="0" borderId="15" xfId="5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5" xfId="0" applyFont="1" applyBorder="1" applyAlignment="1" quotePrefix="1">
      <alignment horizontal="left" vertical="center" wrapText="1"/>
    </xf>
    <xf numFmtId="0" fontId="25" fillId="0" borderId="15" xfId="0" applyFont="1" applyBorder="1" applyAlignment="1" quotePrefix="1">
      <alignment horizontal="left" vertical="center" wrapText="1"/>
    </xf>
    <xf numFmtId="176" fontId="25" fillId="0" borderId="15" xfId="5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75" fontId="25" fillId="0" borderId="15" xfId="50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76" fontId="14" fillId="0" borderId="15" xfId="5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76" fontId="14" fillId="0" borderId="15" xfId="50" applyNumberFormat="1" applyFont="1" applyFill="1" applyBorder="1" applyAlignment="1">
      <alignment horizontal="center" vertical="center"/>
    </xf>
    <xf numFmtId="177" fontId="21" fillId="34" borderId="15" xfId="0" applyNumberFormat="1" applyFont="1" applyFill="1" applyBorder="1" applyAlignment="1">
      <alignment horizontal="center" vertical="center" wrapText="1"/>
    </xf>
    <xf numFmtId="3" fontId="1" fillId="0" borderId="23" xfId="50" applyNumberFormat="1" applyFont="1" applyBorder="1" applyAlignment="1">
      <alignment horizontal="center" vertical="center"/>
    </xf>
    <xf numFmtId="176" fontId="2" fillId="0" borderId="24" xfId="50" applyNumberFormat="1" applyFont="1" applyFill="1" applyBorder="1" applyAlignment="1">
      <alignment horizontal="center" vertical="center"/>
    </xf>
    <xf numFmtId="175" fontId="25" fillId="0" borderId="23" xfId="50" applyNumberFormat="1" applyFont="1" applyBorder="1" applyAlignment="1">
      <alignment horizontal="center" vertical="center"/>
    </xf>
    <xf numFmtId="176" fontId="25" fillId="0" borderId="23" xfId="50" applyNumberFormat="1" applyFont="1" applyBorder="1" applyAlignment="1">
      <alignment horizontal="center" vertical="center"/>
    </xf>
    <xf numFmtId="176" fontId="2" fillId="0" borderId="23" xfId="50" applyNumberFormat="1" applyFont="1" applyFill="1" applyBorder="1" applyAlignment="1">
      <alignment horizontal="center" vertical="center"/>
    </xf>
    <xf numFmtId="4" fontId="25" fillId="0" borderId="23" xfId="50" applyNumberFormat="1" applyFont="1" applyBorder="1" applyAlignment="1">
      <alignment horizontal="center" vertical="center"/>
    </xf>
    <xf numFmtId="175" fontId="2" fillId="0" borderId="23" xfId="50" applyNumberFormat="1" applyFont="1" applyBorder="1" applyAlignment="1">
      <alignment horizontal="center" vertical="center"/>
    </xf>
    <xf numFmtId="4" fontId="14" fillId="0" borderId="23" xfId="50" applyNumberFormat="1" applyFont="1" applyBorder="1" applyAlignment="1">
      <alignment horizontal="center" vertical="center"/>
    </xf>
    <xf numFmtId="3" fontId="14" fillId="0" borderId="23" xfId="50" applyNumberFormat="1" applyFont="1" applyBorder="1" applyAlignment="1">
      <alignment horizontal="center" vertical="center"/>
    </xf>
    <xf numFmtId="175" fontId="1" fillId="0" borderId="23" xfId="50" applyNumberFormat="1" applyFont="1" applyBorder="1" applyAlignment="1">
      <alignment horizontal="center" vertical="center"/>
    </xf>
    <xf numFmtId="176" fontId="1" fillId="0" borderId="23" xfId="50" applyNumberFormat="1" applyFont="1" applyBorder="1" applyAlignment="1">
      <alignment horizontal="center" vertical="center"/>
    </xf>
    <xf numFmtId="175" fontId="14" fillId="0" borderId="23" xfId="50" applyNumberFormat="1" applyFont="1" applyBorder="1" applyAlignment="1">
      <alignment horizontal="center" vertical="center"/>
    </xf>
    <xf numFmtId="175" fontId="1" fillId="0" borderId="25" xfId="0" applyNumberFormat="1" applyFont="1" applyBorder="1" applyAlignment="1">
      <alignment horizontal="center" vertical="center"/>
    </xf>
    <xf numFmtId="176" fontId="27" fillId="0" borderId="23" xfId="50" applyNumberFormat="1" applyFont="1" applyBorder="1" applyAlignment="1">
      <alignment horizontal="center" vertical="center"/>
    </xf>
    <xf numFmtId="174" fontId="28" fillId="0" borderId="15" xfId="50" applyNumberFormat="1" applyFont="1" applyBorder="1" applyAlignment="1">
      <alignment horizontal="center" vertical="center" wrapText="1"/>
    </xf>
    <xf numFmtId="179" fontId="21" fillId="0" borderId="0" xfId="0" applyNumberFormat="1" applyFont="1" applyAlignment="1">
      <alignment vertical="center"/>
    </xf>
    <xf numFmtId="1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77" fontId="21" fillId="0" borderId="2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10" fontId="25" fillId="0" borderId="0" xfId="0" applyNumberFormat="1" applyFont="1" applyAlignment="1">
      <alignment vertical="center"/>
    </xf>
    <xf numFmtId="3" fontId="13" fillId="0" borderId="21" xfId="50" applyNumberFormat="1" applyFont="1" applyBorder="1" applyAlignment="1">
      <alignment horizontal="center" vertical="center"/>
    </xf>
    <xf numFmtId="175" fontId="23" fillId="0" borderId="23" xfId="5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1" fillId="0" borderId="17" xfId="5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29" fillId="28" borderId="9" xfId="70" applyBorder="1" applyAlignment="1">
      <alignment/>
    </xf>
    <xf numFmtId="0" fontId="125" fillId="25" borderId="9" xfId="45" applyBorder="1" applyAlignment="1">
      <alignment/>
    </xf>
    <xf numFmtId="0" fontId="1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9" fontId="0" fillId="0" borderId="9" xfId="0" applyNumberFormat="1" applyBorder="1" applyAlignment="1">
      <alignment/>
    </xf>
    <xf numFmtId="4" fontId="7" fillId="0" borderId="9" xfId="5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5" fillId="32" borderId="0" xfId="9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7" fontId="58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16" fillId="0" borderId="0" xfId="104" applyFont="1" applyFill="1" applyBorder="1" applyAlignment="1">
      <alignment horizontal="center" vertical="center" wrapText="1"/>
      <protection/>
    </xf>
    <xf numFmtId="0" fontId="36" fillId="0" borderId="0" xfId="104" applyFont="1" applyFill="1" applyBorder="1" applyAlignment="1">
      <alignment horizontal="center" vertical="center" wrapText="1"/>
      <protection/>
    </xf>
    <xf numFmtId="0" fontId="16" fillId="0" borderId="9" xfId="104" applyFont="1" applyFill="1" applyBorder="1" applyAlignment="1">
      <alignment horizontal="center" vertical="center" wrapText="1"/>
      <protection/>
    </xf>
    <xf numFmtId="0" fontId="16" fillId="0" borderId="17" xfId="104" applyFont="1" applyFill="1" applyBorder="1" applyAlignment="1">
      <alignment vertical="center" wrapText="1"/>
      <protection/>
    </xf>
    <xf numFmtId="3" fontId="20" fillId="0" borderId="17" xfId="104" applyNumberFormat="1" applyFont="1" applyFill="1" applyBorder="1" applyAlignment="1">
      <alignment horizontal="center" vertical="center" wrapText="1"/>
      <protection/>
    </xf>
    <xf numFmtId="0" fontId="20" fillId="0" borderId="17" xfId="104" applyFont="1" applyFill="1" applyBorder="1" applyAlignment="1">
      <alignment horizontal="center" vertical="center" wrapText="1"/>
      <protection/>
    </xf>
    <xf numFmtId="3" fontId="20" fillId="0" borderId="17" xfId="104" applyNumberFormat="1" applyFont="1" applyFill="1" applyBorder="1" applyAlignment="1">
      <alignment horizontal="center" vertical="center"/>
      <protection/>
    </xf>
    <xf numFmtId="0" fontId="16" fillId="0" borderId="0" xfId="104" applyFont="1" applyFill="1" applyAlignment="1">
      <alignment vertical="center"/>
      <protection/>
    </xf>
    <xf numFmtId="3" fontId="20" fillId="0" borderId="15" xfId="104" applyNumberFormat="1" applyFont="1" applyFill="1" applyBorder="1" applyAlignment="1">
      <alignment horizontal="center" vertical="center" wrapText="1"/>
      <protection/>
    </xf>
    <xf numFmtId="0" fontId="16" fillId="0" borderId="15" xfId="104" applyFont="1" applyFill="1" applyBorder="1" applyAlignment="1">
      <alignment vertical="center" wrapText="1"/>
      <protection/>
    </xf>
    <xf numFmtId="0" fontId="16" fillId="0" borderId="15" xfId="104" applyFont="1" applyFill="1" applyBorder="1" applyAlignment="1">
      <alignment horizontal="center" vertical="center" wrapText="1"/>
      <protection/>
    </xf>
    <xf numFmtId="3" fontId="20" fillId="0" borderId="15" xfId="104" applyNumberFormat="1" applyFont="1" applyFill="1" applyBorder="1" applyAlignment="1">
      <alignment horizontal="center" vertical="center"/>
      <protection/>
    </xf>
    <xf numFmtId="0" fontId="38" fillId="0" borderId="15" xfId="104" applyFont="1" applyFill="1" applyBorder="1" applyAlignment="1">
      <alignment vertical="center" wrapText="1"/>
      <protection/>
    </xf>
    <xf numFmtId="0" fontId="38" fillId="0" borderId="15" xfId="104" applyFont="1" applyFill="1" applyBorder="1" applyAlignment="1">
      <alignment horizontal="center" vertical="center" wrapText="1"/>
      <protection/>
    </xf>
    <xf numFmtId="0" fontId="20" fillId="0" borderId="0" xfId="104" applyFont="1" applyFill="1">
      <alignment/>
      <protection/>
    </xf>
    <xf numFmtId="0" fontId="20" fillId="0" borderId="9" xfId="104" applyFont="1" applyFill="1" applyBorder="1" applyAlignment="1">
      <alignment horizontal="center" vertical="center" wrapText="1"/>
      <protection/>
    </xf>
    <xf numFmtId="0" fontId="20" fillId="0" borderId="15" xfId="104" applyFont="1" applyFill="1" applyBorder="1" applyAlignment="1">
      <alignment vertical="center" wrapText="1"/>
      <protection/>
    </xf>
    <xf numFmtId="0" fontId="20" fillId="0" borderId="15" xfId="104" applyFont="1" applyFill="1" applyBorder="1" applyAlignment="1">
      <alignment horizontal="center" vertical="center" wrapText="1"/>
      <protection/>
    </xf>
    <xf numFmtId="0" fontId="20" fillId="0" borderId="0" xfId="104" applyFont="1" applyFill="1" applyAlignment="1">
      <alignment vertical="center"/>
      <protection/>
    </xf>
    <xf numFmtId="3" fontId="59" fillId="0" borderId="15" xfId="104" applyNumberFormat="1" applyFont="1" applyFill="1" applyBorder="1" applyAlignment="1">
      <alignment horizontal="center" vertical="center"/>
      <protection/>
    </xf>
    <xf numFmtId="3" fontId="16" fillId="0" borderId="15" xfId="104" applyNumberFormat="1" applyFont="1" applyFill="1" applyBorder="1" applyAlignment="1">
      <alignment horizontal="center" vertical="center"/>
      <protection/>
    </xf>
    <xf numFmtId="0" fontId="20" fillId="0" borderId="18" xfId="104" applyFont="1" applyFill="1" applyBorder="1">
      <alignment/>
      <protection/>
    </xf>
    <xf numFmtId="0" fontId="6" fillId="0" borderId="9" xfId="0" applyFont="1" applyFill="1" applyBorder="1" applyAlignment="1">
      <alignment horizontal="center" vertical="center" wrapText="1"/>
    </xf>
    <xf numFmtId="0" fontId="20" fillId="35" borderId="26" xfId="104" applyFont="1" applyFill="1" applyBorder="1" applyAlignment="1">
      <alignment horizontal="center" vertical="center" wrapText="1"/>
      <protection/>
    </xf>
    <xf numFmtId="0" fontId="16" fillId="35" borderId="26" xfId="104" applyFont="1" applyFill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 wrapText="1"/>
    </xf>
    <xf numFmtId="0" fontId="20" fillId="35" borderId="0" xfId="104" applyFont="1" applyFill="1">
      <alignment/>
      <protection/>
    </xf>
    <xf numFmtId="0" fontId="38" fillId="0" borderId="18" xfId="104" applyFont="1" applyFill="1" applyBorder="1" applyAlignment="1">
      <alignment vertical="center" wrapText="1"/>
      <protection/>
    </xf>
    <xf numFmtId="3" fontId="20" fillId="0" borderId="18" xfId="104" applyNumberFormat="1" applyFont="1" applyFill="1" applyBorder="1" applyAlignment="1">
      <alignment horizontal="center" vertical="center"/>
      <protection/>
    </xf>
    <xf numFmtId="0" fontId="16" fillId="0" borderId="18" xfId="104" applyFont="1" applyFill="1" applyBorder="1" applyAlignment="1">
      <alignment horizontal="center" vertical="center" wrapText="1"/>
      <protection/>
    </xf>
    <xf numFmtId="3" fontId="16" fillId="0" borderId="18" xfId="104" applyNumberFormat="1" applyFont="1" applyFill="1" applyBorder="1" applyAlignment="1">
      <alignment horizontal="center" vertical="center"/>
      <protection/>
    </xf>
    <xf numFmtId="0" fontId="16" fillId="35" borderId="0" xfId="104" applyFont="1" applyFill="1">
      <alignment/>
      <protection/>
    </xf>
    <xf numFmtId="0" fontId="35" fillId="0" borderId="0" xfId="104" applyFont="1" applyFill="1" applyAlignment="1">
      <alignment horizontal="right" vertical="center"/>
      <protection/>
    </xf>
    <xf numFmtId="3" fontId="20" fillId="0" borderId="23" xfId="104" applyNumberFormat="1" applyFont="1" applyFill="1" applyBorder="1" applyAlignment="1">
      <alignment horizontal="center" vertical="center" wrapText="1"/>
      <protection/>
    </xf>
    <xf numFmtId="3" fontId="20" fillId="0" borderId="23" xfId="104" applyNumberFormat="1" applyFont="1" applyFill="1" applyBorder="1" applyAlignment="1">
      <alignment horizontal="center" vertical="center"/>
      <protection/>
    </xf>
    <xf numFmtId="0" fontId="16" fillId="35" borderId="11" xfId="104" applyFont="1" applyFill="1" applyBorder="1" applyAlignment="1">
      <alignment horizontal="center" vertical="center" wrapText="1"/>
      <protection/>
    </xf>
    <xf numFmtId="3" fontId="20" fillId="0" borderId="27" xfId="104" applyNumberFormat="1" applyFont="1" applyFill="1" applyBorder="1" applyAlignment="1">
      <alignment horizontal="center" vertical="center" wrapText="1"/>
      <protection/>
    </xf>
    <xf numFmtId="0" fontId="20" fillId="0" borderId="27" xfId="104" applyFont="1" applyFill="1" applyBorder="1" applyAlignment="1">
      <alignment horizontal="center" vertical="center" wrapText="1"/>
      <protection/>
    </xf>
    <xf numFmtId="3" fontId="20" fillId="0" borderId="27" xfId="104" applyNumberFormat="1" applyFont="1" applyFill="1" applyBorder="1" applyAlignment="1">
      <alignment horizontal="center" vertical="center"/>
      <protection/>
    </xf>
    <xf numFmtId="3" fontId="20" fillId="0" borderId="28" xfId="104" applyNumberFormat="1" applyFont="1" applyFill="1" applyBorder="1" applyAlignment="1">
      <alignment horizontal="center" vertical="center" wrapText="1"/>
      <protection/>
    </xf>
    <xf numFmtId="3" fontId="20" fillId="0" borderId="29" xfId="104" applyNumberFormat="1" applyFont="1" applyFill="1" applyBorder="1" applyAlignment="1">
      <alignment horizontal="center" vertical="center" wrapText="1"/>
      <protection/>
    </xf>
    <xf numFmtId="3" fontId="20" fillId="0" borderId="29" xfId="104" applyNumberFormat="1" applyFont="1" applyFill="1" applyBorder="1" applyAlignment="1">
      <alignment horizontal="center" vertical="center"/>
      <protection/>
    </xf>
    <xf numFmtId="3" fontId="20" fillId="0" borderId="30" xfId="104" applyNumberFormat="1" applyFont="1" applyFill="1" applyBorder="1" applyAlignment="1">
      <alignment horizontal="center" vertical="center"/>
      <protection/>
    </xf>
    <xf numFmtId="3" fontId="20" fillId="0" borderId="28" xfId="104" applyNumberFormat="1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 vertical="center" wrapText="1"/>
    </xf>
    <xf numFmtId="3" fontId="20" fillId="0" borderId="31" xfId="104" applyNumberFormat="1" applyFont="1" applyFill="1" applyBorder="1" applyAlignment="1">
      <alignment horizontal="center" vertical="center"/>
      <protection/>
    </xf>
    <xf numFmtId="0" fontId="16" fillId="0" borderId="28" xfId="104" applyFont="1" applyFill="1" applyBorder="1" applyAlignment="1">
      <alignment horizontal="center" vertical="center"/>
      <protection/>
    </xf>
    <xf numFmtId="0" fontId="16" fillId="0" borderId="29" xfId="104" applyFont="1" applyFill="1" applyBorder="1" applyAlignment="1">
      <alignment horizontal="center" vertical="center"/>
      <protection/>
    </xf>
    <xf numFmtId="3" fontId="20" fillId="0" borderId="23" xfId="104" applyNumberFormat="1" applyFont="1" applyFill="1" applyBorder="1" applyAlignment="1">
      <alignment vertical="center"/>
      <protection/>
    </xf>
    <xf numFmtId="3" fontId="20" fillId="0" borderId="30" xfId="104" applyNumberFormat="1" applyFont="1" applyFill="1" applyBorder="1" applyAlignment="1">
      <alignment horizontal="center" vertical="center" wrapText="1"/>
      <protection/>
    </xf>
    <xf numFmtId="0" fontId="16" fillId="0" borderId="30" xfId="104" applyFont="1" applyFill="1" applyBorder="1" applyAlignment="1">
      <alignment horizontal="center" vertical="center"/>
      <protection/>
    </xf>
    <xf numFmtId="0" fontId="35" fillId="0" borderId="0" xfId="104" applyFont="1" applyFill="1" applyAlignment="1">
      <alignment vertical="center"/>
      <protection/>
    </xf>
    <xf numFmtId="3" fontId="20" fillId="0" borderId="32" xfId="104" applyNumberFormat="1" applyFont="1" applyFill="1" applyBorder="1" applyAlignment="1">
      <alignment horizontal="right" vertical="center"/>
      <protection/>
    </xf>
    <xf numFmtId="3" fontId="20" fillId="0" borderId="27" xfId="104" applyNumberFormat="1" applyFont="1" applyFill="1" applyBorder="1" applyAlignment="1">
      <alignment horizontal="right" vertical="center"/>
      <protection/>
    </xf>
    <xf numFmtId="3" fontId="20" fillId="0" borderId="32" xfId="104" applyNumberFormat="1" applyFont="1" applyFill="1" applyBorder="1" applyAlignment="1">
      <alignment horizontal="right" vertical="center" wrapText="1"/>
      <protection/>
    </xf>
    <xf numFmtId="3" fontId="20" fillId="0" borderId="27" xfId="104" applyNumberFormat="1" applyFont="1" applyFill="1" applyBorder="1" applyAlignment="1">
      <alignment horizontal="right" vertical="center" wrapText="1"/>
      <protection/>
    </xf>
    <xf numFmtId="3" fontId="20" fillId="0" borderId="33" xfId="104" applyNumberFormat="1" applyFont="1" applyFill="1" applyBorder="1" applyAlignment="1">
      <alignment horizontal="left" vertical="center" wrapText="1"/>
      <protection/>
    </xf>
    <xf numFmtId="3" fontId="20" fillId="0" borderId="23" xfId="104" applyNumberFormat="1" applyFont="1" applyFill="1" applyBorder="1" applyAlignment="1">
      <alignment horizontal="left" vertical="center" wrapText="1"/>
      <protection/>
    </xf>
    <xf numFmtId="3" fontId="20" fillId="0" borderId="33" xfId="104" applyNumberFormat="1" applyFont="1" applyFill="1" applyBorder="1" applyAlignment="1">
      <alignment horizontal="left" vertical="center"/>
      <protection/>
    </xf>
    <xf numFmtId="3" fontId="20" fillId="0" borderId="23" xfId="104" applyNumberFormat="1" applyFont="1" applyFill="1" applyBorder="1" applyAlignment="1">
      <alignment horizontal="left" vertical="center"/>
      <protection/>
    </xf>
    <xf numFmtId="3" fontId="20" fillId="0" borderId="25" xfId="104" applyNumberFormat="1" applyFont="1" applyFill="1" applyBorder="1" applyAlignment="1">
      <alignment horizontal="left" vertical="center"/>
      <protection/>
    </xf>
    <xf numFmtId="3" fontId="20" fillId="0" borderId="25" xfId="104" applyNumberFormat="1" applyFont="1" applyFill="1" applyBorder="1" applyAlignment="1">
      <alignment horizontal="left" vertical="center" wrapText="1"/>
      <protection/>
    </xf>
    <xf numFmtId="3" fontId="20" fillId="0" borderId="34" xfId="104" applyNumberFormat="1" applyFont="1" applyFill="1" applyBorder="1" applyAlignment="1">
      <alignment horizontal="right" vertical="center" wrapText="1"/>
      <protection/>
    </xf>
    <xf numFmtId="3" fontId="20" fillId="0" borderId="34" xfId="104" applyNumberFormat="1" applyFont="1" applyFill="1" applyBorder="1" applyAlignment="1">
      <alignment horizontal="right" vertical="center"/>
      <protection/>
    </xf>
    <xf numFmtId="0" fontId="66" fillId="34" borderId="0" xfId="95" applyFont="1" applyFill="1" applyAlignment="1">
      <alignment vertical="center" wrapText="1"/>
      <protection/>
    </xf>
    <xf numFmtId="0" fontId="21" fillId="34" borderId="0" xfId="95" applyFont="1" applyFill="1" applyAlignment="1">
      <alignment vertical="center" wrapText="1"/>
      <protection/>
    </xf>
    <xf numFmtId="0" fontId="21" fillId="34" borderId="0" xfId="95" applyFont="1" applyFill="1" applyAlignment="1">
      <alignment horizontal="center" vertical="center" wrapText="1"/>
      <protection/>
    </xf>
    <xf numFmtId="0" fontId="21" fillId="34" borderId="0" xfId="95" applyFont="1" applyFill="1" applyBorder="1" applyAlignment="1">
      <alignment vertical="center" wrapText="1"/>
      <protection/>
    </xf>
    <xf numFmtId="0" fontId="60" fillId="34" borderId="0" xfId="95" applyNumberFormat="1" applyFont="1" applyFill="1" applyBorder="1" applyAlignment="1">
      <alignment horizontal="right" vertical="center" wrapText="1"/>
      <protection/>
    </xf>
    <xf numFmtId="0" fontId="61" fillId="34" borderId="9" xfId="95" applyFont="1" applyFill="1" applyBorder="1" applyAlignment="1">
      <alignment horizontal="center" vertical="center" wrapText="1"/>
      <protection/>
    </xf>
    <xf numFmtId="0" fontId="61" fillId="34" borderId="9" xfId="95" applyNumberFormat="1" applyFont="1" applyFill="1" applyBorder="1" applyAlignment="1">
      <alignment horizontal="center" vertical="center" wrapText="1"/>
      <protection/>
    </xf>
    <xf numFmtId="0" fontId="61" fillId="34" borderId="0" xfId="95" applyFont="1" applyFill="1" applyAlignment="1">
      <alignment vertical="center" wrapText="1"/>
      <protection/>
    </xf>
    <xf numFmtId="0" fontId="61" fillId="34" borderId="21" xfId="95" applyFont="1" applyFill="1" applyBorder="1" applyAlignment="1">
      <alignment horizontal="center" vertical="center" wrapText="1"/>
      <protection/>
    </xf>
    <xf numFmtId="0" fontId="61" fillId="34" borderId="21" xfId="95" applyFont="1" applyFill="1" applyBorder="1" applyAlignment="1">
      <alignment vertical="center" wrapText="1"/>
      <protection/>
    </xf>
    <xf numFmtId="3" fontId="61" fillId="34" borderId="21" xfId="95" applyNumberFormat="1" applyFont="1" applyFill="1" applyBorder="1" applyAlignment="1">
      <alignment vertical="center" wrapText="1"/>
      <protection/>
    </xf>
    <xf numFmtId="0" fontId="21" fillId="34" borderId="15" xfId="95" applyFont="1" applyFill="1" applyBorder="1" applyAlignment="1">
      <alignment horizontal="center" vertical="center" wrapText="1"/>
      <protection/>
    </xf>
    <xf numFmtId="175" fontId="21" fillId="34" borderId="0" xfId="95" applyNumberFormat="1" applyFont="1" applyFill="1" applyAlignment="1">
      <alignment horizontal="left" vertical="center" wrapText="1"/>
      <protection/>
    </xf>
    <xf numFmtId="0" fontId="21" fillId="34" borderId="0" xfId="95" applyFont="1" applyFill="1" applyAlignment="1">
      <alignment horizontal="right" vertical="center" wrapText="1"/>
      <protection/>
    </xf>
    <xf numFmtId="0" fontId="21" fillId="34" borderId="0" xfId="95" applyFont="1" applyFill="1" applyAlignment="1">
      <alignment horizontal="left" vertical="center" wrapText="1"/>
      <protection/>
    </xf>
    <xf numFmtId="0" fontId="60" fillId="34" borderId="15" xfId="95" applyFont="1" applyFill="1" applyBorder="1" applyAlignment="1">
      <alignment horizontal="center" vertical="center" wrapText="1"/>
      <protection/>
    </xf>
    <xf numFmtId="0" fontId="60" fillId="34" borderId="0" xfId="95" applyFont="1" applyFill="1" applyAlignment="1">
      <alignment horizontal="left" vertical="center" wrapText="1"/>
      <protection/>
    </xf>
    <xf numFmtId="0" fontId="60" fillId="34" borderId="0" xfId="95" applyFont="1" applyFill="1" applyAlignment="1">
      <alignment horizontal="right" vertical="center" wrapText="1"/>
      <protection/>
    </xf>
    <xf numFmtId="0" fontId="60" fillId="34" borderId="0" xfId="95" applyFont="1" applyFill="1" applyAlignment="1">
      <alignment vertical="center" wrapText="1"/>
      <protection/>
    </xf>
    <xf numFmtId="0" fontId="9" fillId="34" borderId="15" xfId="95" applyFont="1" applyFill="1" applyBorder="1" applyAlignment="1">
      <alignment horizontal="center" vertical="center" wrapText="1"/>
      <protection/>
    </xf>
    <xf numFmtId="0" fontId="9" fillId="34" borderId="27" xfId="95" applyFont="1" applyFill="1" applyBorder="1" applyAlignment="1">
      <alignment horizontal="center" vertical="center" wrapText="1"/>
      <protection/>
    </xf>
    <xf numFmtId="0" fontId="9" fillId="34" borderId="23" xfId="95" applyNumberFormat="1" applyFont="1" applyFill="1" applyBorder="1" applyAlignment="1">
      <alignment vertical="center" wrapText="1"/>
      <protection/>
    </xf>
    <xf numFmtId="1" fontId="9" fillId="34" borderId="15" xfId="95" applyNumberFormat="1" applyFont="1" applyFill="1" applyBorder="1" applyAlignment="1">
      <alignment horizontal="right" vertical="center" wrapText="1"/>
      <protection/>
    </xf>
    <xf numFmtId="0" fontId="62" fillId="34" borderId="15" xfId="95" applyFont="1" applyFill="1" applyBorder="1" applyAlignment="1">
      <alignment horizontal="center" vertical="center" wrapText="1"/>
      <protection/>
    </xf>
    <xf numFmtId="0" fontId="62" fillId="34" borderId="27" xfId="95" applyFont="1" applyFill="1" applyBorder="1" applyAlignment="1">
      <alignment horizontal="center" vertical="center" wrapText="1"/>
      <protection/>
    </xf>
    <xf numFmtId="0" fontId="62" fillId="34" borderId="23" xfId="95" applyNumberFormat="1" applyFont="1" applyFill="1" applyBorder="1" applyAlignment="1">
      <alignment vertical="center" wrapText="1"/>
      <protection/>
    </xf>
    <xf numFmtId="1" fontId="21" fillId="34" borderId="0" xfId="95" applyNumberFormat="1" applyFont="1" applyFill="1" applyAlignment="1">
      <alignment vertical="center" wrapText="1"/>
      <protection/>
    </xf>
    <xf numFmtId="0" fontId="62" fillId="34" borderId="27" xfId="95" applyFont="1" applyFill="1" applyBorder="1" applyAlignment="1">
      <alignment horizontal="right" vertical="center" wrapText="1"/>
      <protection/>
    </xf>
    <xf numFmtId="0" fontId="9" fillId="34" borderId="27" xfId="95" applyFont="1" applyFill="1" applyBorder="1" applyAlignment="1">
      <alignment horizontal="right" vertical="center" wrapText="1"/>
      <protection/>
    </xf>
    <xf numFmtId="1" fontId="9" fillId="34" borderId="15" xfId="95" applyNumberFormat="1" applyFont="1" applyFill="1" applyBorder="1" applyAlignment="1">
      <alignment horizontal="left" vertical="center" wrapText="1"/>
      <protection/>
    </xf>
    <xf numFmtId="1" fontId="21" fillId="34" borderId="0" xfId="95" applyNumberFormat="1" applyFont="1" applyFill="1" applyAlignment="1">
      <alignment horizontal="left" vertical="center" wrapText="1"/>
      <protection/>
    </xf>
    <xf numFmtId="0" fontId="62" fillId="34" borderId="35" xfId="95" applyFont="1" applyFill="1" applyBorder="1" applyAlignment="1">
      <alignment horizontal="center" vertical="center" wrapText="1"/>
      <protection/>
    </xf>
    <xf numFmtId="3" fontId="9" fillId="34" borderId="15" xfId="95" applyNumberFormat="1" applyFont="1" applyFill="1" applyBorder="1" applyAlignment="1">
      <alignment horizontal="right" vertical="center" wrapText="1"/>
      <protection/>
    </xf>
    <xf numFmtId="0" fontId="21" fillId="34" borderId="34" xfId="95" applyFont="1" applyFill="1" applyBorder="1" applyAlignment="1">
      <alignment horizontal="center" vertical="center" wrapText="1"/>
      <protection/>
    </xf>
    <xf numFmtId="0" fontId="21" fillId="34" borderId="36" xfId="95" applyFont="1" applyFill="1" applyBorder="1" applyAlignment="1">
      <alignment horizontal="center" vertical="center" wrapText="1"/>
      <protection/>
    </xf>
    <xf numFmtId="0" fontId="21" fillId="34" borderId="25" xfId="95" applyFont="1" applyFill="1" applyBorder="1" applyAlignment="1">
      <alignment vertical="center" wrapText="1"/>
      <protection/>
    </xf>
    <xf numFmtId="177" fontId="21" fillId="34" borderId="18" xfId="95" applyNumberFormat="1" applyFont="1" applyFill="1" applyBorder="1" applyAlignment="1">
      <alignment vertical="center" wrapText="1"/>
      <protection/>
    </xf>
    <xf numFmtId="0" fontId="21" fillId="34" borderId="18" xfId="95" applyFont="1" applyFill="1" applyBorder="1" applyAlignment="1">
      <alignment vertical="center" wrapText="1"/>
      <protection/>
    </xf>
    <xf numFmtId="0" fontId="68" fillId="34" borderId="0" xfId="95" applyFont="1" applyFill="1" applyAlignment="1">
      <alignment vertical="center" wrapText="1"/>
      <protection/>
    </xf>
    <xf numFmtId="0" fontId="61" fillId="34" borderId="0" xfId="103" applyFont="1" applyFill="1" applyAlignment="1">
      <alignment horizontal="center" vertical="center"/>
      <protection/>
    </xf>
    <xf numFmtId="0" fontId="21" fillId="34" borderId="0" xfId="103" applyFont="1" applyFill="1" applyAlignment="1">
      <alignment vertical="center"/>
      <protection/>
    </xf>
    <xf numFmtId="0" fontId="61" fillId="34" borderId="0" xfId="103" applyFont="1" applyFill="1" applyAlignment="1">
      <alignment horizontal="center" vertical="center" wrapText="1"/>
      <protection/>
    </xf>
    <xf numFmtId="175" fontId="61" fillId="34" borderId="0" xfId="103" applyNumberFormat="1" applyFont="1" applyFill="1" applyAlignment="1">
      <alignment horizontal="center" vertical="center"/>
      <protection/>
    </xf>
    <xf numFmtId="174" fontId="61" fillId="34" borderId="0" xfId="52" applyNumberFormat="1" applyFont="1" applyFill="1" applyAlignment="1">
      <alignment horizontal="center" vertical="center"/>
    </xf>
    <xf numFmtId="0" fontId="21" fillId="34" borderId="1" xfId="103" applyFont="1" applyFill="1" applyBorder="1" applyAlignment="1">
      <alignment horizontal="center" vertical="center"/>
      <protection/>
    </xf>
    <xf numFmtId="49" fontId="21" fillId="34" borderId="1" xfId="103" applyNumberFormat="1" applyFont="1" applyFill="1" applyBorder="1" applyAlignment="1">
      <alignment vertical="center" wrapText="1"/>
      <protection/>
    </xf>
    <xf numFmtId="175" fontId="21" fillId="34" borderId="0" xfId="103" applyNumberFormat="1" applyFont="1" applyFill="1" applyAlignment="1">
      <alignment vertical="center" wrapText="1"/>
      <protection/>
    </xf>
    <xf numFmtId="49" fontId="21" fillId="34" borderId="0" xfId="103" applyNumberFormat="1" applyFont="1" applyFill="1" applyAlignment="1">
      <alignment vertical="center" wrapText="1"/>
      <protection/>
    </xf>
    <xf numFmtId="43" fontId="21" fillId="34" borderId="0" xfId="59" applyFont="1" applyFill="1" applyAlignment="1">
      <alignment vertical="center"/>
    </xf>
    <xf numFmtId="174" fontId="21" fillId="34" borderId="0" xfId="52" applyNumberFormat="1" applyFont="1" applyFill="1" applyAlignment="1">
      <alignment vertical="center"/>
    </xf>
    <xf numFmtId="0" fontId="61" fillId="34" borderId="9" xfId="103" applyFont="1" applyFill="1" applyBorder="1" applyAlignment="1">
      <alignment horizontal="center" vertical="center" wrapText="1"/>
      <protection/>
    </xf>
    <xf numFmtId="49" fontId="61" fillId="34" borderId="9" xfId="103" applyNumberFormat="1" applyFont="1" applyFill="1" applyBorder="1" applyAlignment="1">
      <alignment horizontal="center" vertical="center" wrapText="1"/>
      <protection/>
    </xf>
    <xf numFmtId="175" fontId="61" fillId="34" borderId="9" xfId="103" applyNumberFormat="1" applyFont="1" applyFill="1" applyBorder="1" applyAlignment="1">
      <alignment horizontal="center" vertical="center" wrapText="1"/>
      <protection/>
    </xf>
    <xf numFmtId="1" fontId="61" fillId="34" borderId="9" xfId="103" applyNumberFormat="1" applyFont="1" applyFill="1" applyBorder="1" applyAlignment="1">
      <alignment horizontal="center" vertical="center" wrapText="1"/>
      <protection/>
    </xf>
    <xf numFmtId="1" fontId="61" fillId="34" borderId="9" xfId="59" applyNumberFormat="1" applyFont="1" applyFill="1" applyBorder="1" applyAlignment="1">
      <alignment horizontal="center" vertical="center" wrapText="1"/>
    </xf>
    <xf numFmtId="1" fontId="61" fillId="34" borderId="9" xfId="52" applyNumberFormat="1" applyFont="1" applyFill="1" applyBorder="1" applyAlignment="1">
      <alignment horizontal="center" vertical="center" wrapText="1"/>
    </xf>
    <xf numFmtId="1" fontId="61" fillId="34" borderId="0" xfId="52" applyNumberFormat="1" applyFont="1" applyFill="1" applyBorder="1" applyAlignment="1">
      <alignment horizontal="center" vertical="center" wrapText="1"/>
    </xf>
    <xf numFmtId="0" fontId="61" fillId="34" borderId="0" xfId="103" applyFont="1" applyFill="1" applyAlignment="1">
      <alignment vertical="center" wrapText="1"/>
      <protection/>
    </xf>
    <xf numFmtId="0" fontId="61" fillId="34" borderId="21" xfId="103" applyFont="1" applyFill="1" applyBorder="1" applyAlignment="1">
      <alignment horizontal="center" vertical="center"/>
      <protection/>
    </xf>
    <xf numFmtId="49" fontId="61" fillId="34" borderId="21" xfId="103" applyNumberFormat="1" applyFont="1" applyFill="1" applyBorder="1" applyAlignment="1">
      <alignment horizontal="center" vertical="center" wrapText="1"/>
      <protection/>
    </xf>
    <xf numFmtId="175" fontId="61" fillId="34" borderId="21" xfId="103" applyNumberFormat="1" applyFont="1" applyFill="1" applyBorder="1" applyAlignment="1">
      <alignment horizontal="center" vertical="center" wrapText="1"/>
      <protection/>
    </xf>
    <xf numFmtId="175" fontId="61" fillId="34" borderId="21" xfId="59" applyNumberFormat="1" applyFont="1" applyFill="1" applyBorder="1" applyAlignment="1">
      <alignment vertical="center"/>
    </xf>
    <xf numFmtId="174" fontId="61" fillId="34" borderId="21" xfId="59" applyNumberFormat="1" applyFont="1" applyFill="1" applyBorder="1" applyAlignment="1">
      <alignment vertical="center"/>
    </xf>
    <xf numFmtId="178" fontId="61" fillId="34" borderId="21" xfId="52" applyNumberFormat="1" applyFont="1" applyFill="1" applyBorder="1" applyAlignment="1">
      <alignment vertical="center"/>
    </xf>
    <xf numFmtId="178" fontId="61" fillId="34" borderId="0" xfId="52" applyNumberFormat="1" applyFont="1" applyFill="1" applyBorder="1" applyAlignment="1">
      <alignment vertical="center"/>
    </xf>
    <xf numFmtId="0" fontId="61" fillId="34" borderId="0" xfId="103" applyFont="1" applyFill="1" applyAlignment="1">
      <alignment vertical="center"/>
      <protection/>
    </xf>
    <xf numFmtId="3" fontId="61" fillId="34" borderId="0" xfId="103" applyNumberFormat="1" applyFont="1" applyFill="1" applyAlignment="1">
      <alignment vertical="center"/>
      <protection/>
    </xf>
    <xf numFmtId="0" fontId="61" fillId="34" borderId="15" xfId="103" applyFont="1" applyFill="1" applyBorder="1" applyAlignment="1">
      <alignment horizontal="center" vertical="center"/>
      <protection/>
    </xf>
    <xf numFmtId="49" fontId="61" fillId="34" borderId="15" xfId="103" applyNumberFormat="1" applyFont="1" applyFill="1" applyBorder="1" applyAlignment="1">
      <alignment horizontal="right" vertical="center" wrapText="1"/>
      <protection/>
    </xf>
    <xf numFmtId="175" fontId="61" fillId="34" borderId="15" xfId="103" applyNumberFormat="1" applyFont="1" applyFill="1" applyBorder="1" applyAlignment="1">
      <alignment vertical="center" wrapText="1"/>
      <protection/>
    </xf>
    <xf numFmtId="175" fontId="61" fillId="34" borderId="15" xfId="59" applyNumberFormat="1" applyFont="1" applyFill="1" applyBorder="1" applyAlignment="1">
      <alignment horizontal="left" vertical="center"/>
    </xf>
    <xf numFmtId="175" fontId="61" fillId="34" borderId="15" xfId="59" applyNumberFormat="1" applyFont="1" applyFill="1" applyBorder="1" applyAlignment="1">
      <alignment vertical="center"/>
    </xf>
    <xf numFmtId="174" fontId="61" fillId="34" borderId="15" xfId="59" applyNumberFormat="1" applyFont="1" applyFill="1" applyBorder="1" applyAlignment="1">
      <alignment vertical="center"/>
    </xf>
    <xf numFmtId="174" fontId="61" fillId="34" borderId="15" xfId="52" applyNumberFormat="1" applyFont="1" applyFill="1" applyBorder="1" applyAlignment="1">
      <alignment vertical="center"/>
    </xf>
    <xf numFmtId="174" fontId="61" fillId="34" borderId="0" xfId="52" applyNumberFormat="1" applyFont="1" applyFill="1" applyBorder="1" applyAlignment="1">
      <alignment vertical="center"/>
    </xf>
    <xf numFmtId="0" fontId="42" fillId="34" borderId="0" xfId="103" applyFont="1" applyFill="1" applyAlignment="1">
      <alignment horizontal="right" vertical="center"/>
      <protection/>
    </xf>
    <xf numFmtId="0" fontId="42" fillId="34" borderId="0" xfId="103" applyFont="1" applyFill="1" applyAlignment="1">
      <alignment vertical="center"/>
      <protection/>
    </xf>
    <xf numFmtId="0" fontId="42" fillId="34" borderId="0" xfId="103" applyFont="1" applyFill="1" applyAlignment="1">
      <alignment horizontal="left" vertical="center"/>
      <protection/>
    </xf>
    <xf numFmtId="0" fontId="21" fillId="34" borderId="15" xfId="103" applyFont="1" applyFill="1" applyBorder="1" applyAlignment="1">
      <alignment horizontal="center" vertical="center"/>
      <protection/>
    </xf>
    <xf numFmtId="49" fontId="21" fillId="34" borderId="15" xfId="103" applyNumberFormat="1" applyFont="1" applyFill="1" applyBorder="1" applyAlignment="1">
      <alignment horizontal="right" vertical="center" wrapText="1"/>
      <protection/>
    </xf>
    <xf numFmtId="175" fontId="21" fillId="34" borderId="15" xfId="103" applyNumberFormat="1" applyFont="1" applyFill="1" applyBorder="1" applyAlignment="1">
      <alignment vertical="center" wrapText="1"/>
      <protection/>
    </xf>
    <xf numFmtId="175" fontId="21" fillId="34" borderId="15" xfId="59" applyNumberFormat="1" applyFont="1" applyFill="1" applyBorder="1" applyAlignment="1">
      <alignment horizontal="left" vertical="center"/>
    </xf>
    <xf numFmtId="175" fontId="21" fillId="34" borderId="15" xfId="59" applyNumberFormat="1" applyFont="1" applyFill="1" applyBorder="1" applyAlignment="1">
      <alignment vertical="center"/>
    </xf>
    <xf numFmtId="174" fontId="21" fillId="34" borderId="15" xfId="59" applyNumberFormat="1" applyFont="1" applyFill="1" applyBorder="1" applyAlignment="1">
      <alignment vertical="center"/>
    </xf>
    <xf numFmtId="174" fontId="21" fillId="34" borderId="15" xfId="52" applyNumberFormat="1" applyFont="1" applyFill="1" applyBorder="1" applyAlignment="1">
      <alignment vertical="center"/>
    </xf>
    <xf numFmtId="174" fontId="21" fillId="34" borderId="0" xfId="52" applyNumberFormat="1" applyFont="1" applyFill="1" applyBorder="1" applyAlignment="1">
      <alignment vertical="center"/>
    </xf>
    <xf numFmtId="0" fontId="21" fillId="34" borderId="0" xfId="103" applyFont="1" applyFill="1" applyAlignment="1">
      <alignment horizontal="right" vertical="center"/>
      <protection/>
    </xf>
    <xf numFmtId="0" fontId="21" fillId="34" borderId="0" xfId="103" applyFont="1" applyFill="1" applyAlignment="1">
      <alignment horizontal="left" vertical="center"/>
      <protection/>
    </xf>
    <xf numFmtId="49" fontId="21" fillId="34" borderId="15" xfId="103" applyNumberFormat="1" applyFont="1" applyFill="1" applyBorder="1" applyAlignment="1">
      <alignment vertical="center" wrapText="1"/>
      <protection/>
    </xf>
    <xf numFmtId="49" fontId="21" fillId="34" borderId="15" xfId="103" applyNumberFormat="1" applyFont="1" applyFill="1" applyBorder="1" applyAlignment="1" quotePrefix="1">
      <alignment vertical="center" wrapText="1"/>
      <protection/>
    </xf>
    <xf numFmtId="175" fontId="21" fillId="34" borderId="15" xfId="103" applyNumberFormat="1" applyFont="1" applyFill="1" applyBorder="1" applyAlignment="1" quotePrefix="1">
      <alignment vertical="center" wrapText="1"/>
      <protection/>
    </xf>
    <xf numFmtId="49" fontId="9" fillId="34" borderId="15" xfId="103" applyNumberFormat="1" applyFont="1" applyFill="1" applyBorder="1" applyAlignment="1" quotePrefix="1">
      <alignment vertical="center" wrapText="1"/>
      <protection/>
    </xf>
    <xf numFmtId="175" fontId="9" fillId="34" borderId="15" xfId="103" applyNumberFormat="1" applyFont="1" applyFill="1" applyBorder="1" applyAlignment="1" quotePrefix="1">
      <alignment vertical="center" wrapText="1"/>
      <protection/>
    </xf>
    <xf numFmtId="49" fontId="61" fillId="34" borderId="15" xfId="103" applyNumberFormat="1" applyFont="1" applyFill="1" applyBorder="1" applyAlignment="1">
      <alignment vertical="center" wrapText="1"/>
      <protection/>
    </xf>
    <xf numFmtId="198" fontId="61" fillId="34" borderId="15" xfId="103" applyNumberFormat="1" applyFont="1" applyFill="1" applyBorder="1" applyAlignment="1">
      <alignment vertical="center" wrapText="1"/>
      <protection/>
    </xf>
    <xf numFmtId="3" fontId="61" fillId="34" borderId="15" xfId="103" applyNumberFormat="1" applyFont="1" applyFill="1" applyBorder="1" applyAlignment="1">
      <alignment vertical="center" wrapText="1"/>
      <protection/>
    </xf>
    <xf numFmtId="0" fontId="60" fillId="34" borderId="15" xfId="103" applyFont="1" applyFill="1" applyBorder="1" applyAlignment="1">
      <alignment horizontal="center" vertical="center"/>
      <protection/>
    </xf>
    <xf numFmtId="49" fontId="60" fillId="34" borderId="15" xfId="103" applyNumberFormat="1" applyFont="1" applyFill="1" applyBorder="1" applyAlignment="1">
      <alignment horizontal="right" vertical="center" wrapText="1"/>
      <protection/>
    </xf>
    <xf numFmtId="175" fontId="60" fillId="34" borderId="15" xfId="103" applyNumberFormat="1" applyFont="1" applyFill="1" applyBorder="1" applyAlignment="1">
      <alignment vertical="center" wrapText="1"/>
      <protection/>
    </xf>
    <xf numFmtId="175" fontId="60" fillId="34" borderId="15" xfId="103" applyNumberFormat="1" applyFont="1" applyFill="1" applyBorder="1" applyAlignment="1">
      <alignment horizontal="left" vertical="center" wrapText="1"/>
      <protection/>
    </xf>
    <xf numFmtId="174" fontId="60" fillId="34" borderId="0" xfId="52" applyNumberFormat="1" applyFont="1" applyFill="1" applyBorder="1" applyAlignment="1">
      <alignment horizontal="center" vertical="center"/>
    </xf>
    <xf numFmtId="0" fontId="60" fillId="34" borderId="0" xfId="103" applyFont="1" applyFill="1" applyAlignment="1">
      <alignment horizontal="right" vertical="center"/>
      <protection/>
    </xf>
    <xf numFmtId="0" fontId="60" fillId="34" borderId="0" xfId="103" applyFont="1" applyFill="1" applyAlignment="1">
      <alignment vertical="center"/>
      <protection/>
    </xf>
    <xf numFmtId="0" fontId="60" fillId="34" borderId="0" xfId="103" applyFont="1" applyFill="1" applyAlignment="1">
      <alignment horizontal="left" vertical="center"/>
      <protection/>
    </xf>
    <xf numFmtId="3" fontId="21" fillId="34" borderId="15" xfId="59" applyNumberFormat="1" applyFont="1" applyFill="1" applyBorder="1" applyAlignment="1">
      <alignment vertical="center"/>
    </xf>
    <xf numFmtId="3" fontId="21" fillId="34" borderId="15" xfId="59" applyNumberFormat="1" applyFont="1" applyFill="1" applyBorder="1" applyAlignment="1">
      <alignment horizontal="left" vertical="center"/>
    </xf>
    <xf numFmtId="174" fontId="21" fillId="34" borderId="0" xfId="52" applyNumberFormat="1" applyFont="1" applyFill="1" applyBorder="1" applyAlignment="1">
      <alignment horizontal="center" vertical="center"/>
    </xf>
    <xf numFmtId="175" fontId="60" fillId="34" borderId="15" xfId="59" applyNumberFormat="1" applyFont="1" applyFill="1" applyBorder="1" applyAlignment="1">
      <alignment vertical="center"/>
    </xf>
    <xf numFmtId="174" fontId="60" fillId="34" borderId="0" xfId="52" applyNumberFormat="1" applyFont="1" applyFill="1" applyBorder="1" applyAlignment="1">
      <alignment vertical="center"/>
    </xf>
    <xf numFmtId="49" fontId="60" fillId="34" borderId="15" xfId="103" applyNumberFormat="1" applyFont="1" applyFill="1" applyBorder="1" applyAlignment="1">
      <alignment vertical="center" wrapText="1"/>
      <protection/>
    </xf>
    <xf numFmtId="3" fontId="61" fillId="34" borderId="15" xfId="59" applyNumberFormat="1" applyFont="1" applyFill="1" applyBorder="1" applyAlignment="1">
      <alignment vertical="center"/>
    </xf>
    <xf numFmtId="0" fontId="61" fillId="34" borderId="22" xfId="103" applyFont="1" applyFill="1" applyBorder="1" applyAlignment="1">
      <alignment horizontal="center" vertical="center"/>
      <protection/>
    </xf>
    <xf numFmtId="49" fontId="61" fillId="34" borderId="22" xfId="103" applyNumberFormat="1" applyFont="1" applyFill="1" applyBorder="1" applyAlignment="1">
      <alignment vertical="center" wrapText="1"/>
      <protection/>
    </xf>
    <xf numFmtId="175" fontId="61" fillId="34" borderId="22" xfId="103" applyNumberFormat="1" applyFont="1" applyFill="1" applyBorder="1" applyAlignment="1">
      <alignment vertical="center" wrapText="1"/>
      <protection/>
    </xf>
    <xf numFmtId="175" fontId="61" fillId="34" borderId="22" xfId="59" applyNumberFormat="1" applyFont="1" applyFill="1" applyBorder="1" applyAlignment="1">
      <alignment vertical="center"/>
    </xf>
    <xf numFmtId="174" fontId="61" fillId="34" borderId="22" xfId="59" applyNumberFormat="1" applyFont="1" applyFill="1" applyBorder="1" applyAlignment="1">
      <alignment vertical="center"/>
    </xf>
    <xf numFmtId="174" fontId="61" fillId="34" borderId="22" xfId="52" applyNumberFormat="1" applyFont="1" applyFill="1" applyBorder="1" applyAlignment="1">
      <alignment vertical="center"/>
    </xf>
    <xf numFmtId="0" fontId="21" fillId="34" borderId="21" xfId="103" applyFont="1" applyFill="1" applyBorder="1" applyAlignment="1">
      <alignment horizontal="center" vertical="center"/>
      <protection/>
    </xf>
    <xf numFmtId="49" fontId="21" fillId="34" borderId="21" xfId="103" applyNumberFormat="1" applyFont="1" applyFill="1" applyBorder="1" applyAlignment="1">
      <alignment vertical="center" wrapText="1"/>
      <protection/>
    </xf>
    <xf numFmtId="175" fontId="21" fillId="34" borderId="21" xfId="103" applyNumberFormat="1" applyFont="1" applyFill="1" applyBorder="1" applyAlignment="1">
      <alignment vertical="center" wrapText="1"/>
      <protection/>
    </xf>
    <xf numFmtId="175" fontId="42" fillId="34" borderId="21" xfId="59" applyNumberFormat="1" applyFont="1" applyFill="1" applyBorder="1" applyAlignment="1">
      <alignment vertical="center"/>
    </xf>
    <xf numFmtId="175" fontId="21" fillId="34" borderId="21" xfId="59" applyNumberFormat="1" applyFont="1" applyFill="1" applyBorder="1" applyAlignment="1">
      <alignment vertical="center"/>
    </xf>
    <xf numFmtId="174" fontId="21" fillId="34" borderId="21" xfId="59" applyNumberFormat="1" applyFont="1" applyFill="1" applyBorder="1" applyAlignment="1">
      <alignment vertical="center"/>
    </xf>
    <xf numFmtId="174" fontId="21" fillId="34" borderId="21" xfId="52" applyNumberFormat="1" applyFont="1" applyFill="1" applyBorder="1" applyAlignment="1">
      <alignment vertical="center"/>
    </xf>
    <xf numFmtId="0" fontId="21" fillId="34" borderId="18" xfId="103" applyFont="1" applyFill="1" applyBorder="1" applyAlignment="1">
      <alignment horizontal="center" vertical="center"/>
      <protection/>
    </xf>
    <xf numFmtId="49" fontId="21" fillId="34" borderId="18" xfId="103" applyNumberFormat="1" applyFont="1" applyFill="1" applyBorder="1" applyAlignment="1">
      <alignment vertical="center" wrapText="1"/>
      <protection/>
    </xf>
    <xf numFmtId="175" fontId="21" fillId="34" borderId="18" xfId="103" applyNumberFormat="1" applyFont="1" applyFill="1" applyBorder="1" applyAlignment="1">
      <alignment vertical="center" wrapText="1"/>
      <protection/>
    </xf>
    <xf numFmtId="3" fontId="21" fillId="34" borderId="18" xfId="59" applyNumberFormat="1" applyFont="1" applyFill="1" applyBorder="1" applyAlignment="1">
      <alignment vertical="center"/>
    </xf>
    <xf numFmtId="174" fontId="21" fillId="34" borderId="18" xfId="59" applyNumberFormat="1" applyFont="1" applyFill="1" applyBorder="1" applyAlignment="1">
      <alignment vertical="center"/>
    </xf>
    <xf numFmtId="174" fontId="21" fillId="34" borderId="18" xfId="52" applyNumberFormat="1" applyFont="1" applyFill="1" applyBorder="1" applyAlignment="1">
      <alignment vertical="center"/>
    </xf>
    <xf numFmtId="0" fontId="21" fillId="34" borderId="0" xfId="103" applyFont="1" applyFill="1" applyAlignment="1">
      <alignment horizontal="center" vertical="center"/>
      <protection/>
    </xf>
    <xf numFmtId="174" fontId="21" fillId="34" borderId="0" xfId="59" applyNumberFormat="1" applyFont="1" applyFill="1" applyAlignment="1">
      <alignment vertical="center"/>
    </xf>
    <xf numFmtId="0" fontId="71" fillId="34" borderId="0" xfId="103" applyFont="1" applyFill="1" applyAlignment="1">
      <alignment horizontal="center" vertical="center"/>
      <protection/>
    </xf>
    <xf numFmtId="49" fontId="21" fillId="34" borderId="0" xfId="103" applyNumberFormat="1" applyFont="1" applyFill="1" applyAlignment="1">
      <alignment horizontal="left" vertical="center"/>
      <protection/>
    </xf>
    <xf numFmtId="175" fontId="21" fillId="34" borderId="0" xfId="103" applyNumberFormat="1" applyFont="1" applyFill="1" applyAlignment="1">
      <alignment horizontal="left" vertical="center"/>
      <protection/>
    </xf>
    <xf numFmtId="4" fontId="21" fillId="34" borderId="0" xfId="103" applyNumberFormat="1" applyFont="1" applyFill="1" applyAlignment="1">
      <alignment horizontal="left" vertical="center"/>
      <protection/>
    </xf>
    <xf numFmtId="174" fontId="21" fillId="34" borderId="0" xfId="103" applyNumberFormat="1" applyFont="1" applyFill="1" applyAlignment="1">
      <alignment horizontal="left" vertical="center"/>
      <protection/>
    </xf>
    <xf numFmtId="174" fontId="21" fillId="34" borderId="0" xfId="52" applyNumberFormat="1" applyFont="1" applyFill="1" applyAlignment="1">
      <alignment horizontal="left" vertical="center"/>
    </xf>
    <xf numFmtId="3" fontId="61" fillId="34" borderId="15" xfId="95" applyNumberFormat="1" applyFont="1" applyFill="1" applyBorder="1" applyAlignment="1">
      <alignment horizontal="right" vertical="center" wrapText="1"/>
      <protection/>
    </xf>
    <xf numFmtId="1" fontId="61" fillId="34" borderId="15" xfId="95" applyNumberFormat="1" applyFont="1" applyFill="1" applyBorder="1" applyAlignment="1">
      <alignment horizontal="left" vertical="center" wrapText="1"/>
      <protection/>
    </xf>
    <xf numFmtId="1" fontId="61" fillId="34" borderId="15" xfId="95" applyNumberFormat="1" applyFont="1" applyFill="1" applyBorder="1" applyAlignment="1">
      <alignment horizontal="right" vertical="center" wrapText="1"/>
      <protection/>
    </xf>
    <xf numFmtId="175" fontId="61" fillId="34" borderId="15" xfId="95" applyNumberFormat="1" applyFont="1" applyFill="1" applyBorder="1" applyAlignment="1">
      <alignment horizontal="right" vertical="center" wrapText="1"/>
      <protection/>
    </xf>
    <xf numFmtId="175" fontId="61" fillId="34" borderId="15" xfId="95" applyNumberFormat="1" applyFont="1" applyFill="1" applyBorder="1" applyAlignment="1">
      <alignment horizontal="left" vertical="center" wrapText="1"/>
      <protection/>
    </xf>
    <xf numFmtId="1" fontId="21" fillId="34" borderId="15" xfId="95" applyNumberFormat="1" applyFont="1" applyFill="1" applyBorder="1" applyAlignment="1">
      <alignment horizontal="left" vertical="center" wrapText="1"/>
      <protection/>
    </xf>
    <xf numFmtId="1" fontId="21" fillId="34" borderId="15" xfId="95" applyNumberFormat="1" applyFont="1" applyFill="1" applyBorder="1" applyAlignment="1">
      <alignment horizontal="right" vertical="center" wrapText="1"/>
      <protection/>
    </xf>
    <xf numFmtId="3" fontId="21" fillId="34" borderId="15" xfId="95" applyNumberFormat="1" applyFont="1" applyFill="1" applyBorder="1" applyAlignment="1">
      <alignment horizontal="right" vertical="center" wrapText="1"/>
      <protection/>
    </xf>
    <xf numFmtId="3" fontId="21" fillId="34" borderId="15" xfId="95" applyNumberFormat="1" applyFont="1" applyFill="1" applyBorder="1" applyAlignment="1">
      <alignment horizontal="left" vertical="center" wrapText="1"/>
      <protection/>
    </xf>
    <xf numFmtId="1" fontId="60" fillId="34" borderId="15" xfId="95" applyNumberFormat="1" applyFont="1" applyFill="1" applyBorder="1" applyAlignment="1">
      <alignment horizontal="left" vertical="center" wrapText="1"/>
      <protection/>
    </xf>
    <xf numFmtId="1" fontId="60" fillId="34" borderId="15" xfId="95" applyNumberFormat="1" applyFont="1" applyFill="1" applyBorder="1" applyAlignment="1">
      <alignment horizontal="right" vertical="center" wrapText="1"/>
      <protection/>
    </xf>
    <xf numFmtId="175" fontId="60" fillId="34" borderId="15" xfId="95" applyNumberFormat="1" applyFont="1" applyFill="1" applyBorder="1" applyAlignment="1">
      <alignment horizontal="right" vertical="center" wrapText="1"/>
      <protection/>
    </xf>
    <xf numFmtId="175" fontId="60" fillId="34" borderId="15" xfId="95" applyNumberFormat="1" applyFont="1" applyFill="1" applyBorder="1" applyAlignment="1">
      <alignment horizontal="left" vertical="center" wrapText="1"/>
      <protection/>
    </xf>
    <xf numFmtId="1" fontId="62" fillId="34" borderId="15" xfId="95" applyNumberFormat="1" applyFont="1" applyFill="1" applyBorder="1" applyAlignment="1">
      <alignment horizontal="right" vertical="center" wrapText="1"/>
      <protection/>
    </xf>
    <xf numFmtId="175" fontId="62" fillId="34" borderId="15" xfId="95" applyNumberFormat="1" applyFont="1" applyFill="1" applyBorder="1" applyAlignment="1">
      <alignment horizontal="right" vertical="center" wrapText="1"/>
      <protection/>
    </xf>
    <xf numFmtId="175" fontId="60" fillId="34" borderId="15" xfId="95" applyNumberFormat="1" applyFont="1" applyFill="1" applyBorder="1" applyAlignment="1">
      <alignment horizontal="center" vertical="center" wrapText="1"/>
      <protection/>
    </xf>
    <xf numFmtId="3" fontId="21" fillId="34" borderId="15" xfId="95" applyNumberFormat="1" applyFont="1" applyFill="1" applyBorder="1" applyAlignment="1">
      <alignment horizontal="center" vertical="center" wrapText="1"/>
      <protection/>
    </xf>
    <xf numFmtId="3" fontId="9" fillId="34" borderId="15" xfId="95" applyNumberFormat="1" applyFont="1" applyFill="1" applyBorder="1" applyAlignment="1">
      <alignment horizontal="left" vertical="center" wrapText="1"/>
      <protection/>
    </xf>
    <xf numFmtId="1" fontId="62" fillId="34" borderId="15" xfId="95" applyNumberFormat="1" applyFont="1" applyFill="1" applyBorder="1" applyAlignment="1">
      <alignment horizontal="left" vertical="center" wrapText="1"/>
      <protection/>
    </xf>
    <xf numFmtId="175" fontId="62" fillId="34" borderId="15" xfId="95" applyNumberFormat="1" applyFont="1" applyFill="1" applyBorder="1" applyAlignment="1">
      <alignment horizontal="left" vertical="center" wrapText="1"/>
      <protection/>
    </xf>
    <xf numFmtId="0" fontId="6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174" fontId="16" fillId="0" borderId="9" xfId="5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174" fontId="20" fillId="0" borderId="9" xfId="5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left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174" fontId="20" fillId="0" borderId="9" xfId="52" applyNumberFormat="1" applyFont="1" applyFill="1" applyBorder="1" applyAlignment="1">
      <alignment horizontal="center" vertical="center" wrapText="1"/>
    </xf>
    <xf numFmtId="178" fontId="16" fillId="0" borderId="9" xfId="5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174" fontId="37" fillId="0" borderId="9" xfId="50" applyNumberFormat="1" applyFont="1" applyFill="1" applyBorder="1" applyAlignment="1">
      <alignment horizontal="center" vertical="center" wrapText="1"/>
    </xf>
    <xf numFmtId="43" fontId="72" fillId="0" borderId="9" xfId="5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/>
    </xf>
    <xf numFmtId="43" fontId="37" fillId="0" borderId="9" xfId="50" applyNumberFormat="1" applyFont="1" applyFill="1" applyBorder="1" applyAlignment="1">
      <alignment horizontal="center" vertical="center" wrapText="1"/>
    </xf>
    <xf numFmtId="43" fontId="63" fillId="0" borderId="0" xfId="0" applyNumberFormat="1" applyFont="1" applyFill="1" applyAlignment="1">
      <alignment vertical="center"/>
    </xf>
    <xf numFmtId="0" fontId="16" fillId="0" borderId="9" xfId="0" applyFont="1" applyFill="1" applyBorder="1" applyAlignment="1">
      <alignment horizontal="left" vertical="center" wrapText="1"/>
    </xf>
    <xf numFmtId="174" fontId="16" fillId="0" borderId="9" xfId="52" applyNumberFormat="1" applyFont="1" applyFill="1" applyBorder="1" applyAlignment="1">
      <alignment horizontal="center" vertical="center" wrapText="1"/>
    </xf>
    <xf numFmtId="174" fontId="72" fillId="0" borderId="9" xfId="52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 quotePrefix="1">
      <alignment vertical="center" wrapText="1"/>
    </xf>
    <xf numFmtId="0" fontId="21" fillId="0" borderId="9" xfId="0" applyFont="1" applyFill="1" applyBorder="1" applyAlignment="1">
      <alignment vertical="center" wrapText="1"/>
    </xf>
    <xf numFmtId="174" fontId="20" fillId="0" borderId="9" xfId="50" applyNumberFormat="1" applyFont="1" applyFill="1" applyBorder="1" applyAlignment="1">
      <alignment horizontal="center" vertical="center" wrapText="1"/>
    </xf>
    <xf numFmtId="174" fontId="72" fillId="0" borderId="9" xfId="5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174" fontId="16" fillId="0" borderId="9" xfId="5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43" fontId="16" fillId="0" borderId="9" xfId="50" applyNumberFormat="1" applyFont="1" applyFill="1" applyBorder="1" applyAlignment="1">
      <alignment horizontal="center" vertical="center"/>
    </xf>
    <xf numFmtId="43" fontId="20" fillId="0" borderId="9" xfId="50" applyNumberFormat="1" applyFont="1" applyFill="1" applyBorder="1" applyAlignment="1">
      <alignment horizontal="center" vertical="center" wrapText="1"/>
    </xf>
    <xf numFmtId="178" fontId="16" fillId="0" borderId="9" xfId="50" applyNumberFormat="1" applyFont="1" applyFill="1" applyBorder="1" applyAlignment="1">
      <alignment horizontal="center" vertical="center"/>
    </xf>
    <xf numFmtId="43" fontId="72" fillId="0" borderId="9" xfId="0" applyNumberFormat="1" applyFont="1" applyFill="1" applyBorder="1" applyAlignment="1">
      <alignment vertical="center"/>
    </xf>
    <xf numFmtId="43" fontId="72" fillId="0" borderId="9" xfId="0" applyNumberFormat="1" applyFont="1" applyFill="1" applyBorder="1" applyAlignment="1">
      <alignment horizontal="center" vertical="center"/>
    </xf>
    <xf numFmtId="43" fontId="20" fillId="0" borderId="9" xfId="0" applyNumberFormat="1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right" vertical="center" wrapText="1"/>
    </xf>
    <xf numFmtId="178" fontId="20" fillId="0" borderId="9" xfId="50" applyNumberFormat="1" applyFont="1" applyFill="1" applyBorder="1" applyAlignment="1">
      <alignment horizontal="center" vertical="center" wrapText="1"/>
    </xf>
    <xf numFmtId="43" fontId="20" fillId="0" borderId="9" xfId="50" applyNumberFormat="1" applyFont="1" applyFill="1" applyBorder="1" applyAlignment="1">
      <alignment horizontal="center" vertical="center"/>
    </xf>
    <xf numFmtId="178" fontId="20" fillId="0" borderId="9" xfId="0" applyNumberFormat="1" applyFont="1" applyFill="1" applyBorder="1" applyAlignment="1">
      <alignment vertical="center"/>
    </xf>
    <xf numFmtId="178" fontId="72" fillId="0" borderId="9" xfId="0" applyNumberFormat="1" applyFont="1" applyFill="1" applyBorder="1" applyAlignment="1">
      <alignment vertical="center"/>
    </xf>
    <xf numFmtId="178" fontId="20" fillId="0" borderId="9" xfId="0" applyNumberFormat="1" applyFont="1" applyFill="1" applyBorder="1" applyAlignment="1">
      <alignment horizontal="center" vertical="center"/>
    </xf>
    <xf numFmtId="43" fontId="16" fillId="0" borderId="9" xfId="52" applyNumberFormat="1" applyFont="1" applyFill="1" applyBorder="1" applyAlignment="1">
      <alignment horizontal="center" vertical="center"/>
    </xf>
    <xf numFmtId="4" fontId="20" fillId="0" borderId="9" xfId="50" applyNumberFormat="1" applyFont="1" applyFill="1" applyBorder="1" applyAlignment="1">
      <alignment vertical="center" wrapText="1"/>
    </xf>
    <xf numFmtId="0" fontId="16" fillId="0" borderId="0" xfId="103" applyFont="1" applyFill="1" applyAlignment="1">
      <alignment horizontal="center" vertical="center"/>
      <protection/>
    </xf>
    <xf numFmtId="4" fontId="21" fillId="0" borderId="0" xfId="0" applyNumberFormat="1" applyFont="1" applyFill="1" applyAlignment="1">
      <alignment vertical="center"/>
    </xf>
    <xf numFmtId="206" fontId="61" fillId="0" borderId="0" xfId="0" applyNumberFormat="1" applyFont="1" applyFill="1" applyAlignment="1">
      <alignment vertical="center"/>
    </xf>
    <xf numFmtId="174" fontId="20" fillId="0" borderId="9" xfId="0" applyNumberFormat="1" applyFont="1" applyFill="1" applyBorder="1" applyAlignment="1">
      <alignment horizontal="center" vertical="center"/>
    </xf>
    <xf numFmtId="207" fontId="61" fillId="0" borderId="0" xfId="0" applyNumberFormat="1" applyFont="1" applyFill="1" applyAlignment="1">
      <alignment vertical="center"/>
    </xf>
    <xf numFmtId="199" fontId="61" fillId="0" borderId="0" xfId="0" applyNumberFormat="1" applyFont="1" applyFill="1" applyAlignment="1">
      <alignment vertical="center"/>
    </xf>
    <xf numFmtId="0" fontId="21" fillId="0" borderId="0" xfId="101" applyFont="1" applyFill="1" applyAlignment="1">
      <alignment vertical="center"/>
      <protection/>
    </xf>
    <xf numFmtId="0" fontId="21" fillId="0" borderId="0" xfId="101" applyFont="1" applyFill="1" applyAlignment="1">
      <alignment vertical="center" wrapText="1"/>
      <protection/>
    </xf>
    <xf numFmtId="0" fontId="21" fillId="0" borderId="0" xfId="101" applyFont="1" applyFill="1" applyAlignment="1">
      <alignment horizontal="center" vertical="center" wrapText="1"/>
      <protection/>
    </xf>
    <xf numFmtId="0" fontId="76" fillId="0" borderId="37" xfId="101" applyFont="1" applyFill="1" applyBorder="1" applyAlignment="1">
      <alignment horizontal="right" vertical="center"/>
      <protection/>
    </xf>
    <xf numFmtId="0" fontId="20" fillId="0" borderId="1" xfId="101" applyFont="1" applyFill="1" applyBorder="1" applyAlignment="1">
      <alignment horizontal="center" vertical="center"/>
      <protection/>
    </xf>
    <xf numFmtId="0" fontId="20" fillId="0" borderId="1" xfId="101" applyFont="1" applyFill="1" applyBorder="1" applyAlignment="1">
      <alignment vertical="center" wrapText="1"/>
      <protection/>
    </xf>
    <xf numFmtId="0" fontId="20" fillId="0" borderId="1" xfId="101" applyFont="1" applyFill="1" applyBorder="1" applyAlignment="1">
      <alignment horizontal="center" vertical="center" wrapText="1"/>
      <protection/>
    </xf>
    <xf numFmtId="0" fontId="20" fillId="0" borderId="1" xfId="101" applyFont="1" applyFill="1" applyBorder="1" applyAlignment="1">
      <alignment vertical="center"/>
      <protection/>
    </xf>
    <xf numFmtId="0" fontId="20" fillId="0" borderId="0" xfId="101" applyFont="1" applyFill="1" applyBorder="1" applyAlignment="1">
      <alignment vertical="center"/>
      <protection/>
    </xf>
    <xf numFmtId="0" fontId="20" fillId="0" borderId="0" xfId="101" applyFont="1" applyFill="1" applyAlignment="1">
      <alignment horizontal="center" vertical="center" wrapText="1"/>
      <protection/>
    </xf>
    <xf numFmtId="0" fontId="20" fillId="0" borderId="0" xfId="101" applyFont="1" applyFill="1" applyAlignment="1">
      <alignment vertical="center"/>
      <protection/>
    </xf>
    <xf numFmtId="0" fontId="16" fillId="0" borderId="26" xfId="101" applyFont="1" applyFill="1" applyBorder="1" applyAlignment="1">
      <alignment horizontal="center" vertical="center" wrapText="1"/>
      <protection/>
    </xf>
    <xf numFmtId="0" fontId="16" fillId="0" borderId="9" xfId="101" applyFont="1" applyFill="1" applyBorder="1" applyAlignment="1">
      <alignment horizontal="center" vertical="center" wrapText="1"/>
      <protection/>
    </xf>
    <xf numFmtId="0" fontId="61" fillId="0" borderId="0" xfId="101" applyFont="1" applyFill="1" applyAlignment="1">
      <alignment vertical="center" wrapText="1"/>
      <protection/>
    </xf>
    <xf numFmtId="0" fontId="16" fillId="0" borderId="9" xfId="101" applyFont="1" applyFill="1" applyBorder="1" applyAlignment="1">
      <alignment horizontal="center" vertical="center"/>
      <protection/>
    </xf>
    <xf numFmtId="0" fontId="16" fillId="0" borderId="9" xfId="101" applyFont="1" applyFill="1" applyBorder="1" applyAlignment="1">
      <alignment vertical="center" wrapText="1"/>
      <protection/>
    </xf>
    <xf numFmtId="0" fontId="20" fillId="0" borderId="9" xfId="101" applyFont="1" applyFill="1" applyBorder="1" applyAlignment="1">
      <alignment horizontal="center" vertical="center" wrapText="1"/>
      <protection/>
    </xf>
    <xf numFmtId="4" fontId="20" fillId="0" borderId="9" xfId="56" applyNumberFormat="1" applyFont="1" applyFill="1" applyBorder="1" applyAlignment="1">
      <alignment horizontal="center" vertical="center"/>
    </xf>
    <xf numFmtId="0" fontId="20" fillId="0" borderId="9" xfId="101" applyFont="1" applyFill="1" applyBorder="1" applyAlignment="1">
      <alignment vertical="center"/>
      <protection/>
    </xf>
    <xf numFmtId="175" fontId="20" fillId="0" borderId="9" xfId="56" applyNumberFormat="1" applyFont="1" applyFill="1" applyBorder="1" applyAlignment="1">
      <alignment horizontal="center" vertical="center"/>
    </xf>
    <xf numFmtId="0" fontId="61" fillId="0" borderId="0" xfId="101" applyFont="1" applyFill="1" applyAlignment="1">
      <alignment vertical="center"/>
      <protection/>
    </xf>
    <xf numFmtId="0" fontId="16" fillId="0" borderId="9" xfId="101" applyFont="1" applyFill="1" applyBorder="1" applyAlignment="1">
      <alignment horizontal="left" vertical="center" wrapText="1"/>
      <protection/>
    </xf>
    <xf numFmtId="174" fontId="20" fillId="0" borderId="9" xfId="56" applyNumberFormat="1" applyFont="1" applyFill="1" applyBorder="1" applyAlignment="1">
      <alignment horizontal="center" vertical="center"/>
    </xf>
    <xf numFmtId="175" fontId="16" fillId="0" borderId="9" xfId="56" applyNumberFormat="1" applyFont="1" applyFill="1" applyBorder="1" applyAlignment="1">
      <alignment horizontal="center" vertical="center"/>
    </xf>
    <xf numFmtId="0" fontId="20" fillId="0" borderId="9" xfId="101" applyFont="1" applyFill="1" applyBorder="1" applyAlignment="1">
      <alignment horizontal="center" vertical="center"/>
      <protection/>
    </xf>
    <xf numFmtId="0" fontId="20" fillId="0" borderId="9" xfId="101" applyFont="1" applyFill="1" applyBorder="1" applyAlignment="1">
      <alignment horizontal="left" vertical="center" wrapText="1"/>
      <protection/>
    </xf>
    <xf numFmtId="0" fontId="21" fillId="0" borderId="0" xfId="101" applyFont="1" applyFill="1" applyAlignment="1">
      <alignment horizontal="right" vertical="center"/>
      <protection/>
    </xf>
    <xf numFmtId="4" fontId="21" fillId="0" borderId="0" xfId="101" applyNumberFormat="1" applyFont="1" applyFill="1" applyAlignment="1">
      <alignment vertical="center"/>
      <protection/>
    </xf>
    <xf numFmtId="0" fontId="21" fillId="0" borderId="0" xfId="101" applyFont="1" applyFill="1" applyAlignment="1">
      <alignment horizontal="left" vertical="center"/>
      <protection/>
    </xf>
    <xf numFmtId="175" fontId="21" fillId="0" borderId="0" xfId="101" applyNumberFormat="1" applyFont="1" applyFill="1" applyAlignment="1">
      <alignment horizontal="right" vertical="center"/>
      <protection/>
    </xf>
    <xf numFmtId="0" fontId="20" fillId="0" borderId="9" xfId="101" applyFont="1" applyFill="1" applyBorder="1" applyAlignment="1">
      <alignment vertical="center" wrapText="1"/>
      <protection/>
    </xf>
    <xf numFmtId="199" fontId="20" fillId="0" borderId="9" xfId="56" applyNumberFormat="1" applyFont="1" applyFill="1" applyBorder="1" applyAlignment="1">
      <alignment horizontal="center" vertical="center"/>
    </xf>
    <xf numFmtId="199" fontId="20" fillId="0" borderId="9" xfId="56" applyNumberFormat="1" applyFont="1" applyFill="1" applyBorder="1" applyAlignment="1">
      <alignment horizontal="right" vertical="center"/>
    </xf>
    <xf numFmtId="0" fontId="20" fillId="0" borderId="0" xfId="101" applyFont="1" applyFill="1" applyAlignment="1">
      <alignment horizontal="center" vertical="center"/>
      <protection/>
    </xf>
    <xf numFmtId="0" fontId="20" fillId="0" borderId="0" xfId="101" applyFont="1" applyFill="1" applyAlignment="1">
      <alignment vertical="center" wrapText="1"/>
      <protection/>
    </xf>
    <xf numFmtId="174" fontId="20" fillId="0" borderId="0" xfId="56" applyNumberFormat="1" applyFont="1" applyFill="1" applyAlignment="1">
      <alignment horizontal="center" vertical="center"/>
    </xf>
    <xf numFmtId="175" fontId="20" fillId="0" borderId="0" xfId="56" applyNumberFormat="1" applyFont="1" applyFill="1" applyAlignment="1">
      <alignment vertical="center"/>
    </xf>
    <xf numFmtId="0" fontId="20" fillId="0" borderId="0" xfId="101" applyFont="1" applyFill="1" applyAlignment="1">
      <alignment horizontal="right" vertical="center" wrapText="1"/>
      <protection/>
    </xf>
    <xf numFmtId="175" fontId="20" fillId="0" borderId="0" xfId="101" applyNumberFormat="1" applyFont="1" applyFill="1" applyAlignment="1">
      <alignment horizontal="left" vertical="center"/>
      <protection/>
    </xf>
    <xf numFmtId="175" fontId="20" fillId="0" borderId="0" xfId="101" applyNumberFormat="1" applyFont="1" applyFill="1" applyAlignment="1">
      <alignment vertical="center"/>
      <protection/>
    </xf>
    <xf numFmtId="0" fontId="21" fillId="0" borderId="0" xfId="101" applyFont="1" applyFill="1" applyAlignment="1">
      <alignment horizontal="center" vertical="center"/>
      <protection/>
    </xf>
    <xf numFmtId="0" fontId="78" fillId="0" borderId="37" xfId="101" applyFont="1" applyFill="1" applyBorder="1" applyAlignment="1">
      <alignment horizontal="right" vertical="center"/>
      <protection/>
    </xf>
    <xf numFmtId="49" fontId="16" fillId="0" borderId="26" xfId="101" applyNumberFormat="1" applyFont="1" applyFill="1" applyBorder="1" applyAlignment="1">
      <alignment horizontal="center" vertical="center" wrapText="1"/>
      <protection/>
    </xf>
    <xf numFmtId="0" fontId="16" fillId="0" borderId="0" xfId="101" applyFont="1" applyFill="1" applyAlignment="1">
      <alignment vertical="center" wrapText="1"/>
      <protection/>
    </xf>
    <xf numFmtId="3" fontId="16" fillId="0" borderId="9" xfId="101" applyNumberFormat="1" applyFont="1" applyFill="1" applyBorder="1" applyAlignment="1">
      <alignment vertical="center"/>
      <protection/>
    </xf>
    <xf numFmtId="3" fontId="16" fillId="0" borderId="9" xfId="101" applyNumberFormat="1" applyFont="1" applyFill="1" applyBorder="1" applyAlignment="1">
      <alignment vertical="center" wrapText="1"/>
      <protection/>
    </xf>
    <xf numFmtId="3" fontId="16" fillId="0" borderId="9" xfId="101" applyNumberFormat="1" applyFont="1" applyFill="1" applyBorder="1" applyAlignment="1">
      <alignment horizontal="center" vertical="center" wrapText="1"/>
      <protection/>
    </xf>
    <xf numFmtId="0" fontId="16" fillId="0" borderId="0" xfId="101" applyFont="1" applyFill="1" applyAlignment="1">
      <alignment horizontal="right" vertical="center"/>
      <protection/>
    </xf>
    <xf numFmtId="0" fontId="16" fillId="0" borderId="0" xfId="101" applyFont="1" applyFill="1" applyAlignment="1">
      <alignment vertical="center"/>
      <protection/>
    </xf>
    <xf numFmtId="0" fontId="16" fillId="0" borderId="0" xfId="101" applyFont="1" applyFill="1" applyAlignment="1">
      <alignment horizontal="left" vertical="center"/>
      <protection/>
    </xf>
    <xf numFmtId="3" fontId="16" fillId="0" borderId="9" xfId="101" applyNumberFormat="1" applyFont="1" applyBorder="1" applyAlignment="1">
      <alignment horizontal="center" wrapText="1"/>
      <protection/>
    </xf>
    <xf numFmtId="3" fontId="20" fillId="0" borderId="9" xfId="101" applyNumberFormat="1" applyFont="1" applyBorder="1" applyAlignment="1">
      <alignment horizontal="center" wrapText="1"/>
      <protection/>
    </xf>
    <xf numFmtId="3" fontId="20" fillId="0" borderId="9" xfId="52" applyNumberFormat="1" applyFont="1" applyFill="1" applyBorder="1" applyAlignment="1">
      <alignment horizontal="right"/>
    </xf>
    <xf numFmtId="3" fontId="16" fillId="0" borderId="9" xfId="101" applyNumberFormat="1" applyFont="1" applyFill="1" applyBorder="1" applyAlignment="1">
      <alignment horizontal="right" wrapText="1"/>
      <protection/>
    </xf>
    <xf numFmtId="3" fontId="20" fillId="0" borderId="9" xfId="101" applyNumberFormat="1" applyFont="1" applyBorder="1" applyAlignment="1">
      <alignment horizontal="right" vertical="center" wrapText="1"/>
      <protection/>
    </xf>
    <xf numFmtId="3" fontId="20" fillId="0" borderId="9" xfId="101" applyNumberFormat="1" applyFont="1" applyFill="1" applyBorder="1" applyAlignment="1">
      <alignment horizontal="right" wrapText="1"/>
      <protection/>
    </xf>
    <xf numFmtId="3" fontId="20" fillId="0" borderId="9" xfId="101" applyNumberFormat="1" applyFont="1" applyFill="1" applyBorder="1" applyAlignment="1" quotePrefix="1">
      <alignment horizontal="right" wrapText="1"/>
      <protection/>
    </xf>
    <xf numFmtId="3" fontId="20" fillId="0" borderId="9" xfId="101" applyNumberFormat="1" applyFont="1" applyBorder="1" applyAlignment="1">
      <alignment horizontal="center" vertical="center" wrapText="1"/>
      <protection/>
    </xf>
    <xf numFmtId="3" fontId="20" fillId="0" borderId="9" xfId="101" applyNumberFormat="1" applyFont="1" applyBorder="1" applyAlignment="1">
      <alignment horizontal="right"/>
      <protection/>
    </xf>
    <xf numFmtId="49" fontId="20" fillId="0" borderId="0" xfId="101" applyNumberFormat="1" applyFont="1" applyFill="1" applyAlignment="1">
      <alignment horizontal="center" vertical="center"/>
      <protection/>
    </xf>
    <xf numFmtId="0" fontId="78" fillId="0" borderId="0" xfId="101" applyFont="1" applyFill="1" applyBorder="1" applyAlignment="1">
      <alignment horizontal="right" vertical="center"/>
      <protection/>
    </xf>
    <xf numFmtId="0" fontId="16" fillId="0" borderId="38" xfId="101" applyFont="1" applyFill="1" applyBorder="1" applyAlignment="1">
      <alignment horizontal="center" vertical="center" wrapText="1"/>
      <protection/>
    </xf>
    <xf numFmtId="49" fontId="20" fillId="0" borderId="9" xfId="101" applyNumberFormat="1" applyFont="1" applyFill="1" applyBorder="1" applyAlignment="1" quotePrefix="1">
      <alignment horizontal="center" vertical="center" wrapText="1"/>
      <protection/>
    </xf>
    <xf numFmtId="0" fontId="20" fillId="0" borderId="38" xfId="101" applyFont="1" applyFill="1" applyBorder="1" applyAlignment="1">
      <alignment horizontal="center" vertical="center" wrapText="1"/>
      <protection/>
    </xf>
    <xf numFmtId="0" fontId="16" fillId="0" borderId="17" xfId="101" applyFont="1" applyFill="1" applyBorder="1" applyAlignment="1">
      <alignment horizontal="center" vertical="center"/>
      <protection/>
    </xf>
    <xf numFmtId="0" fontId="16" fillId="0" borderId="17" xfId="101" applyFont="1" applyFill="1" applyBorder="1" applyAlignment="1">
      <alignment vertical="center" wrapText="1"/>
      <protection/>
    </xf>
    <xf numFmtId="0" fontId="16" fillId="0" borderId="17" xfId="101" applyFont="1" applyFill="1" applyBorder="1" applyAlignment="1">
      <alignment horizontal="center" vertical="center" wrapText="1"/>
      <protection/>
    </xf>
    <xf numFmtId="4" fontId="16" fillId="0" borderId="17" xfId="57" applyNumberFormat="1" applyFont="1" applyFill="1" applyBorder="1" applyAlignment="1">
      <alignment horizontal="center"/>
    </xf>
    <xf numFmtId="0" fontId="20" fillId="0" borderId="38" xfId="101" applyFont="1" applyFill="1" applyBorder="1" applyAlignment="1">
      <alignment vertical="center"/>
      <protection/>
    </xf>
    <xf numFmtId="49" fontId="16" fillId="0" borderId="15" xfId="101" applyNumberFormat="1" applyFont="1" applyFill="1" applyBorder="1" applyAlignment="1">
      <alignment horizontal="center" vertical="center"/>
      <protection/>
    </xf>
    <xf numFmtId="0" fontId="16" fillId="0" borderId="15" xfId="101" applyFont="1" applyFill="1" applyBorder="1" applyAlignment="1">
      <alignment horizontal="left" vertical="center" wrapText="1"/>
      <protection/>
    </xf>
    <xf numFmtId="0" fontId="16" fillId="0" borderId="15" xfId="101" applyFont="1" applyFill="1" applyBorder="1" applyAlignment="1">
      <alignment horizontal="center" vertical="center" wrapText="1"/>
      <protection/>
    </xf>
    <xf numFmtId="174" fontId="16" fillId="0" borderId="15" xfId="57" applyNumberFormat="1" applyFont="1" applyFill="1" applyBorder="1" applyAlignment="1">
      <alignment/>
    </xf>
    <xf numFmtId="175" fontId="16" fillId="0" borderId="15" xfId="57" applyNumberFormat="1" applyFont="1" applyFill="1" applyBorder="1" applyAlignment="1">
      <alignment horizontal="center"/>
    </xf>
    <xf numFmtId="0" fontId="16" fillId="0" borderId="38" xfId="101" applyFont="1" applyFill="1" applyBorder="1" applyAlignment="1">
      <alignment horizontal="right" vertical="center"/>
      <protection/>
    </xf>
    <xf numFmtId="0" fontId="20" fillId="0" borderId="15" xfId="101" applyFont="1" applyFill="1" applyBorder="1" applyAlignment="1">
      <alignment horizontal="center" vertical="center" wrapText="1"/>
      <protection/>
    </xf>
    <xf numFmtId="174" fontId="20" fillId="0" borderId="15" xfId="57" applyNumberFormat="1" applyFont="1" applyFill="1" applyBorder="1" applyAlignment="1">
      <alignment/>
    </xf>
    <xf numFmtId="0" fontId="79" fillId="0" borderId="38" xfId="101" applyFont="1" applyFill="1" applyBorder="1" applyAlignment="1">
      <alignment vertical="center"/>
      <protection/>
    </xf>
    <xf numFmtId="0" fontId="79" fillId="0" borderId="0" xfId="101" applyFont="1" applyFill="1" applyAlignment="1">
      <alignment vertical="center"/>
      <protection/>
    </xf>
    <xf numFmtId="49" fontId="20" fillId="0" borderId="15" xfId="101" applyNumberFormat="1" applyFont="1" applyFill="1" applyBorder="1" applyAlignment="1">
      <alignment horizontal="center" vertical="center"/>
      <protection/>
    </xf>
    <xf numFmtId="0" fontId="20" fillId="0" borderId="15" xfId="101" applyFont="1" applyFill="1" applyBorder="1" applyAlignment="1">
      <alignment horizontal="left" vertical="center" wrapText="1"/>
      <protection/>
    </xf>
    <xf numFmtId="175" fontId="20" fillId="0" borderId="15" xfId="57" applyNumberFormat="1" applyFont="1" applyFill="1" applyBorder="1" applyAlignment="1">
      <alignment horizontal="center"/>
    </xf>
    <xf numFmtId="0" fontId="20" fillId="0" borderId="15" xfId="101" applyFont="1" applyFill="1" applyBorder="1" applyAlignment="1" quotePrefix="1">
      <alignment horizontal="left" vertical="center" wrapText="1"/>
      <protection/>
    </xf>
    <xf numFmtId="0" fontId="20" fillId="0" borderId="15" xfId="101" applyFont="1" applyFill="1" applyBorder="1" applyAlignment="1" quotePrefix="1">
      <alignment horizontal="center" vertical="center" wrapText="1"/>
      <protection/>
    </xf>
    <xf numFmtId="4" fontId="20" fillId="0" borderId="15" xfId="57" applyNumberFormat="1" applyFont="1" applyFill="1" applyBorder="1" applyAlignment="1">
      <alignment horizontal="center"/>
    </xf>
    <xf numFmtId="49" fontId="79" fillId="0" borderId="15" xfId="101" applyNumberFormat="1" applyFont="1" applyFill="1" applyBorder="1" applyAlignment="1">
      <alignment horizontal="center" vertical="center"/>
      <protection/>
    </xf>
    <xf numFmtId="174" fontId="80" fillId="0" borderId="15" xfId="57" applyNumberFormat="1" applyFont="1" applyFill="1" applyBorder="1" applyAlignment="1">
      <alignment/>
    </xf>
    <xf numFmtId="175" fontId="80" fillId="0" borderId="15" xfId="57" applyNumberFormat="1" applyFont="1" applyFill="1" applyBorder="1" applyAlignment="1">
      <alignment horizontal="center"/>
    </xf>
    <xf numFmtId="4" fontId="80" fillId="0" borderId="15" xfId="57" applyNumberFormat="1" applyFont="1" applyFill="1" applyBorder="1" applyAlignment="1">
      <alignment horizontal="center"/>
    </xf>
    <xf numFmtId="0" fontId="16" fillId="0" borderId="38" xfId="101" applyFont="1" applyFill="1" applyBorder="1" applyAlignment="1">
      <alignment vertical="center"/>
      <protection/>
    </xf>
    <xf numFmtId="49" fontId="16" fillId="0" borderId="18" xfId="101" applyNumberFormat="1" applyFont="1" applyFill="1" applyBorder="1" applyAlignment="1">
      <alignment horizontal="center" vertical="center"/>
      <protection/>
    </xf>
    <xf numFmtId="0" fontId="16" fillId="0" borderId="18" xfId="101" applyFont="1" applyFill="1" applyBorder="1" applyAlignment="1">
      <alignment horizontal="left" vertical="center" wrapText="1"/>
      <protection/>
    </xf>
    <xf numFmtId="0" fontId="20" fillId="0" borderId="18" xfId="101" applyFont="1" applyFill="1" applyBorder="1" applyAlignment="1">
      <alignment horizontal="center" vertical="center" wrapText="1"/>
      <protection/>
    </xf>
    <xf numFmtId="174" fontId="20" fillId="0" borderId="18" xfId="57" applyNumberFormat="1" applyFont="1" applyFill="1" applyBorder="1" applyAlignment="1">
      <alignment/>
    </xf>
    <xf numFmtId="175" fontId="16" fillId="0" borderId="18" xfId="57" applyNumberFormat="1" applyFont="1" applyFill="1" applyBorder="1" applyAlignment="1">
      <alignment horizontal="center"/>
    </xf>
    <xf numFmtId="49" fontId="16" fillId="0" borderId="9" xfId="101" applyNumberFormat="1" applyFont="1" applyFill="1" applyBorder="1" applyAlignment="1">
      <alignment horizontal="center" vertical="center"/>
      <protection/>
    </xf>
    <xf numFmtId="174" fontId="20" fillId="0" borderId="9" xfId="57" applyNumberFormat="1" applyFont="1" applyFill="1" applyBorder="1" applyAlignment="1">
      <alignment horizontal="center" vertical="center"/>
    </xf>
    <xf numFmtId="175" fontId="16" fillId="0" borderId="9" xfId="57" applyNumberFormat="1" applyFont="1" applyFill="1" applyBorder="1" applyAlignment="1">
      <alignment horizontal="center" vertical="center"/>
    </xf>
    <xf numFmtId="49" fontId="20" fillId="0" borderId="0" xfId="101" applyNumberFormat="1" applyFont="1" applyFill="1" applyBorder="1" applyAlignment="1">
      <alignment horizontal="center" vertical="center"/>
      <protection/>
    </xf>
    <xf numFmtId="0" fontId="20" fillId="0" borderId="0" xfId="101" applyFont="1" applyFill="1" applyBorder="1" applyAlignment="1">
      <alignment vertical="center" wrapText="1"/>
      <protection/>
    </xf>
    <xf numFmtId="0" fontId="20" fillId="0" borderId="0" xfId="101" applyFont="1" applyFill="1" applyBorder="1" applyAlignment="1">
      <alignment horizontal="center" vertical="center" wrapText="1"/>
      <protection/>
    </xf>
    <xf numFmtId="174" fontId="20" fillId="0" borderId="0" xfId="57" applyNumberFormat="1" applyFont="1" applyFill="1" applyBorder="1" applyAlignment="1">
      <alignment horizontal="center" vertical="center"/>
    </xf>
    <xf numFmtId="175" fontId="20" fillId="0" borderId="0" xfId="57" applyNumberFormat="1" applyFont="1" applyFill="1" applyBorder="1" applyAlignment="1">
      <alignment horizontal="center" vertical="center"/>
    </xf>
    <xf numFmtId="174" fontId="20" fillId="0" borderId="0" xfId="57" applyNumberFormat="1" applyFont="1" applyFill="1" applyAlignment="1">
      <alignment horizontal="center" vertical="center"/>
    </xf>
    <xf numFmtId="175" fontId="20" fillId="0" borderId="0" xfId="57" applyNumberFormat="1" applyFont="1" applyFill="1" applyAlignment="1">
      <alignment vertical="center"/>
    </xf>
    <xf numFmtId="0" fontId="20" fillId="0" borderId="0" xfId="101" applyFont="1" applyFill="1" applyAlignment="1">
      <alignment horizontal="left" vertical="center"/>
      <protection/>
    </xf>
    <xf numFmtId="0" fontId="20" fillId="0" borderId="0" xfId="101" applyFont="1" applyFill="1" applyAlignment="1">
      <alignment horizontal="right" vertical="center"/>
      <protection/>
    </xf>
    <xf numFmtId="0" fontId="20" fillId="36" borderId="0" xfId="101" applyFont="1" applyFill="1" applyAlignment="1">
      <alignment vertical="center" wrapText="1"/>
      <protection/>
    </xf>
    <xf numFmtId="0" fontId="73" fillId="37" borderId="37" xfId="101" applyFont="1" applyFill="1" applyBorder="1" applyAlignment="1">
      <alignment vertical="center"/>
      <protection/>
    </xf>
    <xf numFmtId="0" fontId="61" fillId="0" borderId="0" xfId="101" applyFont="1" applyFill="1" applyBorder="1" applyAlignment="1">
      <alignment vertical="center" wrapText="1"/>
      <protection/>
    </xf>
    <xf numFmtId="0" fontId="16" fillId="0" borderId="39" xfId="101" applyFont="1" applyFill="1" applyBorder="1" applyAlignment="1">
      <alignment horizontal="center" vertical="center"/>
      <protection/>
    </xf>
    <xf numFmtId="0" fontId="16" fillId="0" borderId="39" xfId="101" applyFont="1" applyFill="1" applyBorder="1" applyAlignment="1">
      <alignment horizontal="left" vertical="center" wrapText="1"/>
      <protection/>
    </xf>
    <xf numFmtId="0" fontId="16" fillId="0" borderId="39" xfId="101" applyFont="1" applyFill="1" applyBorder="1" applyAlignment="1">
      <alignment horizontal="center" vertical="center" wrapText="1"/>
      <protection/>
    </xf>
    <xf numFmtId="174" fontId="16" fillId="0" borderId="39" xfId="57" applyNumberFormat="1" applyFont="1" applyFill="1" applyBorder="1" applyAlignment="1">
      <alignment horizontal="center" vertical="center"/>
    </xf>
    <xf numFmtId="175" fontId="16" fillId="0" borderId="39" xfId="57" applyNumberFormat="1" applyFont="1" applyFill="1" applyBorder="1" applyAlignment="1">
      <alignment horizontal="left" vertical="center"/>
    </xf>
    <xf numFmtId="175" fontId="16" fillId="0" borderId="39" xfId="57" applyNumberFormat="1" applyFont="1" applyFill="1" applyBorder="1" applyAlignment="1">
      <alignment horizontal="center" vertical="center"/>
    </xf>
    <xf numFmtId="0" fontId="16" fillId="0" borderId="39" xfId="101" applyFont="1" applyFill="1" applyBorder="1" applyAlignment="1">
      <alignment vertical="center"/>
      <protection/>
    </xf>
    <xf numFmtId="0" fontId="61" fillId="0" borderId="0" xfId="101" applyFont="1" applyFill="1" applyAlignment="1">
      <alignment horizontal="left" vertical="center"/>
      <protection/>
    </xf>
    <xf numFmtId="0" fontId="61" fillId="0" borderId="0" xfId="101" applyFont="1" applyFill="1" applyAlignment="1">
      <alignment horizontal="right" vertical="center"/>
      <protection/>
    </xf>
    <xf numFmtId="0" fontId="20" fillId="0" borderId="9" xfId="101" applyFont="1" applyFill="1" applyBorder="1" applyAlignment="1">
      <alignment horizontal="center" vertical="top"/>
      <protection/>
    </xf>
    <xf numFmtId="0" fontId="20" fillId="0" borderId="9" xfId="101" applyFont="1" applyFill="1" applyBorder="1" applyAlignment="1" quotePrefix="1">
      <alignment horizontal="left" vertical="center" wrapText="1"/>
      <protection/>
    </xf>
    <xf numFmtId="0" fontId="20" fillId="0" borderId="9" xfId="101" applyFont="1" applyFill="1" applyBorder="1" applyAlignment="1" quotePrefix="1">
      <alignment horizontal="center" vertical="center" wrapText="1"/>
      <protection/>
    </xf>
    <xf numFmtId="2" fontId="21" fillId="0" borderId="9" xfId="110" applyNumberFormat="1" applyFont="1" applyFill="1" applyBorder="1" applyAlignment="1">
      <alignment horizontal="center" vertical="center"/>
    </xf>
    <xf numFmtId="2" fontId="21" fillId="0" borderId="0" xfId="101" applyNumberFormat="1" applyFont="1" applyFill="1" applyAlignment="1">
      <alignment horizontal="right" vertical="center"/>
      <protection/>
    </xf>
    <xf numFmtId="174" fontId="16" fillId="0" borderId="9" xfId="57" applyNumberFormat="1" applyFont="1" applyFill="1" applyBorder="1" applyAlignment="1">
      <alignment horizontal="center" vertical="center"/>
    </xf>
    <xf numFmtId="175" fontId="16" fillId="0" borderId="9" xfId="57" applyNumberFormat="1" applyFont="1" applyFill="1" applyBorder="1" applyAlignment="1">
      <alignment horizontal="left" vertical="center"/>
    </xf>
    <xf numFmtId="0" fontId="20" fillId="0" borderId="9" xfId="101" applyFont="1" applyFill="1" applyBorder="1" applyAlignment="1" quotePrefix="1">
      <alignment vertical="center" wrapText="1"/>
      <protection/>
    </xf>
    <xf numFmtId="0" fontId="61" fillId="0" borderId="15" xfId="101" applyFont="1" applyBorder="1" applyAlignment="1">
      <alignment horizontal="center"/>
      <protection/>
    </xf>
    <xf numFmtId="0" fontId="61" fillId="0" borderId="15" xfId="101" applyFont="1" applyFill="1" applyBorder="1" applyAlignment="1">
      <alignment horizontal="center" vertical="center" wrapText="1"/>
      <protection/>
    </xf>
    <xf numFmtId="175" fontId="61" fillId="0" borderId="15" xfId="101" applyNumberFormat="1" applyFont="1" applyFill="1" applyBorder="1" applyAlignment="1">
      <alignment horizontal="center" vertical="center" wrapText="1"/>
      <protection/>
    </xf>
    <xf numFmtId="0" fontId="0" fillId="0" borderId="0" xfId="101" applyFont="1">
      <alignment/>
      <protection/>
    </xf>
    <xf numFmtId="0" fontId="21" fillId="0" borderId="15" xfId="101" applyFont="1" applyBorder="1" applyAlignment="1">
      <alignment horizontal="center"/>
      <protection/>
    </xf>
    <xf numFmtId="0" fontId="21" fillId="0" borderId="15" xfId="101" applyFont="1" applyFill="1" applyBorder="1" applyAlignment="1">
      <alignment horizontal="center" vertical="center" wrapText="1"/>
      <protection/>
    </xf>
    <xf numFmtId="175" fontId="21" fillId="0" borderId="15" xfId="101" applyNumberFormat="1" applyFont="1" applyFill="1" applyBorder="1" applyAlignment="1">
      <alignment horizontal="center" vertical="center" wrapText="1"/>
      <protection/>
    </xf>
    <xf numFmtId="0" fontId="82" fillId="0" borderId="15" xfId="101" applyFont="1" applyBorder="1" applyAlignment="1">
      <alignment horizontal="center"/>
      <protection/>
    </xf>
    <xf numFmtId="0" fontId="81" fillId="0" borderId="15" xfId="101" applyFont="1" applyFill="1" applyBorder="1" applyAlignment="1">
      <alignment horizontal="center" vertical="center" wrapText="1"/>
      <protection/>
    </xf>
    <xf numFmtId="175" fontId="81" fillId="0" borderId="15" xfId="101" applyNumberFormat="1" applyFont="1" applyFill="1" applyBorder="1" applyAlignment="1">
      <alignment horizontal="center" vertical="center" wrapText="1"/>
      <protection/>
    </xf>
    <xf numFmtId="0" fontId="83" fillId="0" borderId="0" xfId="101" applyFont="1">
      <alignment/>
      <protection/>
    </xf>
    <xf numFmtId="0" fontId="60" fillId="0" borderId="15" xfId="101" applyFont="1" applyBorder="1" applyAlignment="1">
      <alignment horizontal="center"/>
      <protection/>
    </xf>
    <xf numFmtId="0" fontId="61" fillId="0" borderId="15" xfId="101" applyFont="1" applyFill="1" applyBorder="1" applyAlignment="1">
      <alignment horizontal="center" vertical="center"/>
      <protection/>
    </xf>
    <xf numFmtId="0" fontId="61" fillId="0" borderId="15" xfId="101" applyFont="1" applyFill="1" applyBorder="1" applyAlignment="1">
      <alignment horizontal="left" vertical="center" wrapText="1"/>
      <protection/>
    </xf>
    <xf numFmtId="0" fontId="60" fillId="0" borderId="15" xfId="101" applyFont="1" applyFill="1" applyBorder="1" applyAlignment="1">
      <alignment horizontal="center" vertical="center" wrapText="1"/>
      <protection/>
    </xf>
    <xf numFmtId="4" fontId="61" fillId="0" borderId="15" xfId="101" applyNumberFormat="1" applyFont="1" applyFill="1" applyBorder="1" applyAlignment="1">
      <alignment horizontal="center" vertical="center" wrapText="1"/>
      <protection/>
    </xf>
    <xf numFmtId="0" fontId="81" fillId="0" borderId="15" xfId="101" applyFont="1" applyBorder="1" applyAlignment="1">
      <alignment horizontal="center"/>
      <protection/>
    </xf>
    <xf numFmtId="0" fontId="60" fillId="0" borderId="18" xfId="101" applyFont="1" applyFill="1" applyBorder="1" applyAlignment="1">
      <alignment horizontal="center" vertical="center"/>
      <protection/>
    </xf>
    <xf numFmtId="0" fontId="60" fillId="0" borderId="18" xfId="101" applyFont="1" applyFill="1" applyBorder="1" applyAlignment="1">
      <alignment horizontal="left" vertical="center" wrapText="1"/>
      <protection/>
    </xf>
    <xf numFmtId="0" fontId="60" fillId="0" borderId="18" xfId="101" applyFont="1" applyFill="1" applyBorder="1" applyAlignment="1">
      <alignment horizontal="center" vertical="center" wrapText="1"/>
      <protection/>
    </xf>
    <xf numFmtId="177" fontId="21" fillId="0" borderId="18" xfId="101" applyNumberFormat="1" applyFont="1" applyFill="1" applyBorder="1" applyAlignment="1">
      <alignment horizontal="center" vertical="center" wrapText="1"/>
      <protection/>
    </xf>
    <xf numFmtId="175" fontId="21" fillId="0" borderId="18" xfId="101" applyNumberFormat="1" applyFont="1" applyFill="1" applyBorder="1" applyAlignment="1">
      <alignment horizontal="center" vertical="center" wrapText="1"/>
      <protection/>
    </xf>
    <xf numFmtId="0" fontId="84" fillId="0" borderId="0" xfId="101" applyFont="1" applyFill="1" applyAlignment="1">
      <alignment vertical="center" wrapText="1"/>
      <protection/>
    </xf>
    <xf numFmtId="175" fontId="16" fillId="0" borderId="9" xfId="50" applyNumberFormat="1" applyFont="1" applyFill="1" applyBorder="1" applyAlignment="1">
      <alignment horizontal="center" vertical="center"/>
    </xf>
    <xf numFmtId="3" fontId="20" fillId="0" borderId="9" xfId="50" applyNumberFormat="1" applyFont="1" applyFill="1" applyBorder="1" applyAlignment="1">
      <alignment horizontal="center" vertical="center"/>
    </xf>
    <xf numFmtId="0" fontId="16" fillId="0" borderId="9" xfId="101" applyFont="1" applyFill="1" applyBorder="1" applyAlignment="1">
      <alignment vertical="center"/>
      <protection/>
    </xf>
    <xf numFmtId="0" fontId="84" fillId="0" borderId="0" xfId="101" applyFont="1" applyFill="1" applyAlignment="1">
      <alignment vertical="center"/>
      <protection/>
    </xf>
    <xf numFmtId="175" fontId="16" fillId="0" borderId="9" xfId="50" applyNumberFormat="1" applyFont="1" applyFill="1" applyBorder="1" applyAlignment="1">
      <alignment horizontal="left" vertical="center"/>
    </xf>
    <xf numFmtId="0" fontId="20" fillId="34" borderId="9" xfId="101" applyFont="1" applyFill="1" applyBorder="1" applyAlignment="1">
      <alignment horizontal="center" vertical="center"/>
      <protection/>
    </xf>
    <xf numFmtId="0" fontId="20" fillId="34" borderId="9" xfId="101" applyFont="1" applyFill="1" applyBorder="1" applyAlignment="1" quotePrefix="1">
      <alignment horizontal="left" vertical="center" wrapText="1"/>
      <protection/>
    </xf>
    <xf numFmtId="0" fontId="20" fillId="34" borderId="9" xfId="101" applyFont="1" applyFill="1" applyBorder="1" applyAlignment="1">
      <alignment horizontal="center" vertical="center" wrapText="1"/>
      <protection/>
    </xf>
    <xf numFmtId="3" fontId="20" fillId="34" borderId="9" xfId="50" applyNumberFormat="1" applyFont="1" applyFill="1" applyBorder="1" applyAlignment="1">
      <alignment horizontal="center" vertical="center" wrapText="1"/>
    </xf>
    <xf numFmtId="0" fontId="61" fillId="34" borderId="0" xfId="101" applyFont="1" applyFill="1" applyAlignment="1">
      <alignment vertical="center"/>
      <protection/>
    </xf>
    <xf numFmtId="0" fontId="61" fillId="34" borderId="0" xfId="101" applyFont="1" applyFill="1" applyAlignment="1">
      <alignment horizontal="left" vertical="center"/>
      <protection/>
    </xf>
    <xf numFmtId="0" fontId="61" fillId="34" borderId="0" xfId="101" applyFont="1" applyFill="1" applyAlignment="1">
      <alignment horizontal="right" vertical="center"/>
      <protection/>
    </xf>
    <xf numFmtId="0" fontId="16" fillId="34" borderId="9" xfId="101" applyFont="1" applyFill="1" applyBorder="1" applyAlignment="1">
      <alignment horizontal="center" vertical="center"/>
      <protection/>
    </xf>
    <xf numFmtId="0" fontId="16" fillId="34" borderId="9" xfId="101" applyFont="1" applyFill="1" applyBorder="1" applyAlignment="1">
      <alignment vertical="center" wrapText="1"/>
      <protection/>
    </xf>
    <xf numFmtId="0" fontId="21" fillId="34" borderId="9" xfId="101" applyFont="1" applyFill="1" applyBorder="1" applyAlignment="1">
      <alignment vertical="center"/>
      <protection/>
    </xf>
    <xf numFmtId="0" fontId="20" fillId="34" borderId="9" xfId="101" applyFont="1" applyFill="1" applyBorder="1" applyAlignment="1" quotePrefix="1">
      <alignment vertical="center" wrapText="1"/>
      <protection/>
    </xf>
    <xf numFmtId="0" fontId="21" fillId="34" borderId="0" xfId="101" applyFont="1" applyFill="1" applyAlignment="1">
      <alignment vertical="center"/>
      <protection/>
    </xf>
    <xf numFmtId="0" fontId="16" fillId="34" borderId="9" xfId="101" applyFont="1" applyFill="1" applyBorder="1" applyAlignment="1">
      <alignment horizontal="left" vertical="center" wrapText="1"/>
      <protection/>
    </xf>
    <xf numFmtId="0" fontId="21" fillId="34" borderId="9" xfId="101" applyFont="1" applyFill="1" applyBorder="1" applyAlignment="1">
      <alignment horizontal="left" vertical="center"/>
      <protection/>
    </xf>
    <xf numFmtId="0" fontId="16" fillId="34" borderId="9" xfId="101" applyFont="1" applyFill="1" applyBorder="1" applyAlignment="1">
      <alignment horizontal="center" vertical="center" wrapText="1"/>
      <protection/>
    </xf>
    <xf numFmtId="0" fontId="16" fillId="34" borderId="9" xfId="101" applyFont="1" applyFill="1" applyBorder="1" applyAlignment="1">
      <alignment horizontal="right" vertical="center"/>
      <protection/>
    </xf>
    <xf numFmtId="0" fontId="84" fillId="34" borderId="0" xfId="101" applyFont="1" applyFill="1" applyAlignment="1">
      <alignment vertical="center"/>
      <protection/>
    </xf>
    <xf numFmtId="175" fontId="16" fillId="34" borderId="9" xfId="50" applyNumberFormat="1" applyFont="1" applyFill="1" applyBorder="1" applyAlignment="1">
      <alignment horizontal="center" vertical="center"/>
    </xf>
    <xf numFmtId="0" fontId="16" fillId="34" borderId="9" xfId="101" applyFont="1" applyFill="1" applyBorder="1" applyAlignment="1">
      <alignment vertical="center"/>
      <protection/>
    </xf>
    <xf numFmtId="0" fontId="61" fillId="34" borderId="0" xfId="101" applyFont="1" applyFill="1" applyBorder="1" applyAlignment="1">
      <alignment vertical="center"/>
      <protection/>
    </xf>
    <xf numFmtId="0" fontId="20" fillId="34" borderId="9" xfId="101" applyFont="1" applyFill="1" applyBorder="1" applyAlignment="1">
      <alignment horizontal="left" vertical="center" wrapText="1"/>
      <protection/>
    </xf>
    <xf numFmtId="3" fontId="20" fillId="34" borderId="9" xfId="50" applyNumberFormat="1" applyFont="1" applyFill="1" applyBorder="1" applyAlignment="1">
      <alignment horizontal="center" vertical="center"/>
    </xf>
    <xf numFmtId="3" fontId="20" fillId="34" borderId="9" xfId="101" applyNumberFormat="1" applyFont="1" applyFill="1" applyBorder="1" applyAlignment="1">
      <alignment horizontal="center" vertical="center"/>
      <protection/>
    </xf>
    <xf numFmtId="0" fontId="72" fillId="34" borderId="9" xfId="101" applyFont="1" applyFill="1" applyBorder="1" applyAlignment="1">
      <alignment vertical="center" wrapText="1"/>
      <protection/>
    </xf>
    <xf numFmtId="0" fontId="20" fillId="34" borderId="9" xfId="101" applyFont="1" applyFill="1" applyBorder="1" applyAlignment="1" quotePrefix="1">
      <alignment horizontal="center" vertical="center" wrapText="1"/>
      <protection/>
    </xf>
    <xf numFmtId="200" fontId="20" fillId="34" borderId="9" xfId="50" applyNumberFormat="1" applyFont="1" applyFill="1" applyBorder="1" applyAlignment="1">
      <alignment horizontal="center" vertical="center"/>
    </xf>
    <xf numFmtId="200" fontId="72" fillId="34" borderId="9" xfId="101" applyNumberFormat="1" applyFont="1" applyFill="1" applyBorder="1" applyAlignment="1">
      <alignment horizontal="center" vertical="center"/>
      <protection/>
    </xf>
    <xf numFmtId="200" fontId="16" fillId="34" borderId="9" xfId="101" applyNumberFormat="1" applyFont="1" applyFill="1" applyBorder="1" applyAlignment="1">
      <alignment vertical="center"/>
      <protection/>
    </xf>
    <xf numFmtId="200" fontId="16" fillId="34" borderId="9" xfId="101" applyNumberFormat="1" applyFont="1" applyFill="1" applyBorder="1" applyAlignment="1">
      <alignment horizontal="center" vertical="center"/>
      <protection/>
    </xf>
    <xf numFmtId="178" fontId="20" fillId="34" borderId="9" xfId="50" applyNumberFormat="1" applyFont="1" applyFill="1" applyBorder="1" applyAlignment="1">
      <alignment horizontal="center" vertical="center"/>
    </xf>
    <xf numFmtId="0" fontId="21" fillId="34" borderId="0" xfId="101" applyFont="1" applyFill="1" applyBorder="1" applyAlignment="1">
      <alignment vertical="center"/>
      <protection/>
    </xf>
    <xf numFmtId="0" fontId="72" fillId="34" borderId="9" xfId="101" applyFont="1" applyFill="1" applyBorder="1" applyAlignment="1">
      <alignment horizontal="center" vertical="center"/>
      <protection/>
    </xf>
    <xf numFmtId="200" fontId="20" fillId="34" borderId="9" xfId="101" applyNumberFormat="1" applyFont="1" applyFill="1" applyBorder="1" applyAlignment="1">
      <alignment horizontal="right" vertical="center"/>
      <protection/>
    </xf>
    <xf numFmtId="0" fontId="60" fillId="34" borderId="0" xfId="101" applyFont="1" applyFill="1" applyBorder="1" applyAlignment="1">
      <alignment vertical="center"/>
      <protection/>
    </xf>
    <xf numFmtId="0" fontId="60" fillId="34" borderId="0" xfId="101" applyFont="1" applyFill="1" applyAlignment="1">
      <alignment vertical="center"/>
      <protection/>
    </xf>
    <xf numFmtId="178" fontId="21" fillId="34" borderId="9" xfId="52" applyNumberFormat="1" applyFont="1" applyFill="1" applyBorder="1" applyAlignment="1">
      <alignment horizontal="right" vertical="center" wrapText="1"/>
    </xf>
    <xf numFmtId="4" fontId="72" fillId="34" borderId="9" xfId="52" applyNumberFormat="1" applyFont="1" applyFill="1" applyBorder="1" applyAlignment="1">
      <alignment horizontal="center" vertical="center"/>
    </xf>
    <xf numFmtId="175" fontId="20" fillId="34" borderId="9" xfId="52" applyNumberFormat="1" applyFont="1" applyFill="1" applyBorder="1" applyAlignment="1">
      <alignment horizontal="center" vertical="center"/>
    </xf>
    <xf numFmtId="175" fontId="20" fillId="34" borderId="9" xfId="50" applyNumberFormat="1" applyFont="1" applyFill="1" applyBorder="1" applyAlignment="1">
      <alignment horizontal="center" vertical="center" wrapText="1"/>
    </xf>
    <xf numFmtId="174" fontId="20" fillId="34" borderId="9" xfId="50" applyNumberFormat="1" applyFont="1" applyFill="1" applyBorder="1" applyAlignment="1">
      <alignment horizontal="center" vertical="center" wrapText="1"/>
    </xf>
    <xf numFmtId="175" fontId="20" fillId="34" borderId="9" xfId="50" applyNumberFormat="1" applyFont="1" applyFill="1" applyBorder="1" applyAlignment="1">
      <alignment horizontal="center" vertical="center"/>
    </xf>
    <xf numFmtId="0" fontId="20" fillId="34" borderId="9" xfId="101" applyFont="1" applyFill="1" applyBorder="1" applyAlignment="1">
      <alignment vertical="center" wrapText="1"/>
      <protection/>
    </xf>
    <xf numFmtId="175" fontId="20" fillId="34" borderId="9" xfId="101" applyNumberFormat="1" applyFont="1" applyFill="1" applyBorder="1" applyAlignment="1">
      <alignment horizontal="center" vertical="center" wrapText="1"/>
      <protection/>
    </xf>
    <xf numFmtId="175" fontId="20" fillId="34" borderId="9" xfId="101" applyNumberFormat="1" applyFont="1" applyFill="1" applyBorder="1" applyAlignment="1" quotePrefix="1">
      <alignment horizontal="center" vertical="center" wrapText="1"/>
      <protection/>
    </xf>
    <xf numFmtId="0" fontId="9" fillId="34" borderId="38" xfId="101" applyFont="1" applyFill="1" applyBorder="1" applyAlignment="1">
      <alignment horizontal="center" vertical="center"/>
      <protection/>
    </xf>
    <xf numFmtId="0" fontId="72" fillId="0" borderId="9" xfId="101" applyFont="1" applyFill="1" applyBorder="1" applyAlignment="1">
      <alignment horizontal="center" vertical="center"/>
      <protection/>
    </xf>
    <xf numFmtId="0" fontId="72" fillId="0" borderId="9" xfId="101" applyFont="1" applyFill="1" applyBorder="1" applyAlignment="1">
      <alignment horizontal="center" vertical="center" wrapText="1"/>
      <protection/>
    </xf>
    <xf numFmtId="0" fontId="60" fillId="0" borderId="0" xfId="101" applyFont="1" applyFill="1" applyAlignment="1">
      <alignment horizontal="right" vertical="center"/>
      <protection/>
    </xf>
    <xf numFmtId="0" fontId="60" fillId="0" borderId="0" xfId="101" applyFont="1" applyFill="1" applyAlignment="1">
      <alignment vertical="center"/>
      <protection/>
    </xf>
    <xf numFmtId="0" fontId="60" fillId="0" borderId="0" xfId="101" applyFont="1" applyFill="1" applyAlignment="1">
      <alignment horizontal="left" vertical="center"/>
      <protection/>
    </xf>
    <xf numFmtId="4" fontId="60" fillId="0" borderId="0" xfId="101" applyNumberFormat="1" applyFont="1" applyFill="1" applyAlignment="1">
      <alignment vertical="center"/>
      <protection/>
    </xf>
    <xf numFmtId="4" fontId="60" fillId="0" borderId="0" xfId="101" applyNumberFormat="1" applyFont="1" applyFill="1" applyAlignment="1">
      <alignment horizontal="left" vertical="center"/>
      <protection/>
    </xf>
    <xf numFmtId="4" fontId="60" fillId="0" borderId="0" xfId="101" applyNumberFormat="1" applyFont="1" applyFill="1" applyAlignment="1">
      <alignment horizontal="right" vertical="center"/>
      <protection/>
    </xf>
    <xf numFmtId="0" fontId="72" fillId="0" borderId="9" xfId="101" applyFont="1" applyFill="1" applyBorder="1" applyAlignment="1">
      <alignment vertical="center" wrapText="1"/>
      <protection/>
    </xf>
    <xf numFmtId="177" fontId="60" fillId="0" borderId="0" xfId="101" applyNumberFormat="1" applyFont="1" applyFill="1" applyAlignment="1">
      <alignment vertical="center"/>
      <protection/>
    </xf>
    <xf numFmtId="3" fontId="21" fillId="0" borderId="0" xfId="101" applyNumberFormat="1" applyFont="1" applyFill="1" applyAlignment="1">
      <alignment vertical="center"/>
      <protection/>
    </xf>
    <xf numFmtId="43" fontId="16" fillId="0" borderId="9" xfId="50" applyNumberFormat="1" applyFont="1" applyFill="1" applyBorder="1" applyAlignment="1">
      <alignment horizontal="right" vertical="center"/>
    </xf>
    <xf numFmtId="43" fontId="16" fillId="0" borderId="9" xfId="50" applyNumberFormat="1" applyFont="1" applyFill="1" applyBorder="1" applyAlignment="1">
      <alignment horizontal="left" vertical="center"/>
    </xf>
    <xf numFmtId="43" fontId="72" fillId="0" borderId="9" xfId="50" applyNumberFormat="1" applyFont="1" applyFill="1" applyBorder="1" applyAlignment="1">
      <alignment horizontal="center" vertical="center"/>
    </xf>
    <xf numFmtId="43" fontId="72" fillId="0" borderId="9" xfId="50" applyNumberFormat="1" applyFont="1" applyFill="1" applyBorder="1" applyAlignment="1">
      <alignment horizontal="right" vertical="center"/>
    </xf>
    <xf numFmtId="43" fontId="72" fillId="0" borderId="9" xfId="50" applyNumberFormat="1" applyFont="1" applyFill="1" applyBorder="1" applyAlignment="1">
      <alignment horizontal="left" vertical="center"/>
    </xf>
    <xf numFmtId="43" fontId="72" fillId="0" borderId="9" xfId="50" applyNumberFormat="1" applyFont="1" applyFill="1" applyBorder="1" applyAlignment="1">
      <alignment vertical="center"/>
    </xf>
    <xf numFmtId="43" fontId="72" fillId="0" borderId="9" xfId="50" applyFont="1" applyFill="1" applyBorder="1" applyAlignment="1">
      <alignment horizontal="right" vertical="center"/>
    </xf>
    <xf numFmtId="43" fontId="20" fillId="0" borderId="9" xfId="50" applyNumberFormat="1" applyFont="1" applyFill="1" applyBorder="1" applyAlignment="1">
      <alignment horizontal="right" vertical="center"/>
    </xf>
    <xf numFmtId="0" fontId="35" fillId="0" borderId="0" xfId="101" applyFont="1" applyFill="1" applyAlignment="1">
      <alignment/>
      <protection/>
    </xf>
    <xf numFmtId="0" fontId="21" fillId="0" borderId="0" xfId="103" applyFont="1" applyFill="1" applyAlignment="1">
      <alignment vertical="center"/>
      <protection/>
    </xf>
    <xf numFmtId="0" fontId="20" fillId="0" borderId="1" xfId="103" applyFont="1" applyFill="1" applyBorder="1" applyAlignment="1">
      <alignment horizontal="center" vertical="center"/>
      <protection/>
    </xf>
    <xf numFmtId="49" fontId="20" fillId="0" borderId="1" xfId="103" applyNumberFormat="1" applyFont="1" applyFill="1" applyBorder="1" applyAlignment="1">
      <alignment vertical="center" wrapText="1"/>
      <protection/>
    </xf>
    <xf numFmtId="175" fontId="20" fillId="0" borderId="0" xfId="103" applyNumberFormat="1" applyFont="1" applyFill="1" applyAlignment="1">
      <alignment vertical="center" wrapText="1"/>
      <protection/>
    </xf>
    <xf numFmtId="174" fontId="20" fillId="0" borderId="0" xfId="50" applyNumberFormat="1" applyFont="1" applyFill="1" applyAlignment="1">
      <alignment vertical="center" wrapText="1"/>
    </xf>
    <xf numFmtId="49" fontId="20" fillId="0" borderId="0" xfId="103" applyNumberFormat="1" applyFont="1" applyFill="1" applyAlignment="1">
      <alignment vertical="center" wrapText="1"/>
      <protection/>
    </xf>
    <xf numFmtId="43" fontId="20" fillId="0" borderId="0" xfId="59" applyFont="1" applyFill="1" applyAlignment="1">
      <alignment vertical="center"/>
    </xf>
    <xf numFmtId="43" fontId="72" fillId="0" borderId="1" xfId="50" applyFont="1" applyFill="1" applyBorder="1" applyAlignment="1">
      <alignment horizontal="right" vertical="center"/>
    </xf>
    <xf numFmtId="174" fontId="20" fillId="0" borderId="0" xfId="52" applyNumberFormat="1" applyFont="1" applyFill="1" applyAlignment="1">
      <alignment vertical="center"/>
    </xf>
    <xf numFmtId="0" fontId="16" fillId="0" borderId="9" xfId="103" applyFont="1" applyFill="1" applyBorder="1" applyAlignment="1">
      <alignment horizontal="center" vertical="center" wrapText="1"/>
      <protection/>
    </xf>
    <xf numFmtId="49" fontId="16" fillId="0" borderId="9" xfId="103" applyNumberFormat="1" applyFont="1" applyFill="1" applyBorder="1" applyAlignment="1">
      <alignment horizontal="center" vertical="center" wrapText="1"/>
      <protection/>
    </xf>
    <xf numFmtId="43" fontId="16" fillId="0" borderId="9" xfId="50" applyFont="1" applyFill="1" applyBorder="1" applyAlignment="1">
      <alignment horizontal="center" vertical="center" wrapText="1"/>
    </xf>
    <xf numFmtId="1" fontId="16" fillId="0" borderId="0" xfId="52" applyNumberFormat="1" applyFont="1" applyFill="1" applyBorder="1" applyAlignment="1">
      <alignment horizontal="center" vertical="center" wrapText="1"/>
    </xf>
    <xf numFmtId="0" fontId="61" fillId="0" borderId="0" xfId="103" applyFont="1" applyFill="1" applyAlignment="1">
      <alignment vertical="center" wrapText="1"/>
      <protection/>
    </xf>
    <xf numFmtId="0" fontId="16" fillId="0" borderId="9" xfId="103" applyFont="1" applyFill="1" applyBorder="1" applyAlignment="1">
      <alignment horizontal="center" vertical="center"/>
      <protection/>
    </xf>
    <xf numFmtId="175" fontId="16" fillId="0" borderId="9" xfId="103" applyNumberFormat="1" applyFont="1" applyFill="1" applyBorder="1" applyAlignment="1">
      <alignment horizontal="center" vertical="center" wrapText="1"/>
      <protection/>
    </xf>
    <xf numFmtId="175" fontId="16" fillId="0" borderId="9" xfId="59" applyNumberFormat="1" applyFont="1" applyFill="1" applyBorder="1" applyAlignment="1">
      <alignment vertical="center"/>
    </xf>
    <xf numFmtId="43" fontId="16" fillId="0" borderId="9" xfId="50" applyFont="1" applyFill="1" applyBorder="1" applyAlignment="1">
      <alignment vertical="center"/>
    </xf>
    <xf numFmtId="178" fontId="16" fillId="0" borderId="0" xfId="52" applyNumberFormat="1" applyFont="1" applyFill="1" applyBorder="1" applyAlignment="1">
      <alignment vertical="center"/>
    </xf>
    <xf numFmtId="0" fontId="61" fillId="0" borderId="0" xfId="103" applyFont="1" applyFill="1" applyAlignment="1">
      <alignment vertical="center"/>
      <protection/>
    </xf>
    <xf numFmtId="49" fontId="16" fillId="0" borderId="9" xfId="103" applyNumberFormat="1" applyFont="1" applyFill="1" applyBorder="1" applyAlignment="1">
      <alignment horizontal="right" vertical="center" wrapText="1"/>
      <protection/>
    </xf>
    <xf numFmtId="175" fontId="16" fillId="0" borderId="9" xfId="103" applyNumberFormat="1" applyFont="1" applyFill="1" applyBorder="1" applyAlignment="1">
      <alignment vertical="center" wrapText="1"/>
      <protection/>
    </xf>
    <xf numFmtId="174" fontId="16" fillId="0" borderId="9" xfId="50" applyNumberFormat="1" applyFont="1" applyFill="1" applyBorder="1" applyAlignment="1">
      <alignment vertical="center" wrapText="1"/>
    </xf>
    <xf numFmtId="175" fontId="16" fillId="0" borderId="9" xfId="103" applyNumberFormat="1" applyFont="1" applyFill="1" applyBorder="1" applyAlignment="1">
      <alignment horizontal="left" vertical="center" wrapText="1"/>
      <protection/>
    </xf>
    <xf numFmtId="174" fontId="16" fillId="0" borderId="0" xfId="52" applyNumberFormat="1" applyFont="1" applyFill="1" applyBorder="1" applyAlignment="1">
      <alignment vertical="center"/>
    </xf>
    <xf numFmtId="0" fontId="42" fillId="0" borderId="0" xfId="103" applyFont="1" applyFill="1" applyAlignment="1">
      <alignment vertical="center"/>
      <protection/>
    </xf>
    <xf numFmtId="0" fontId="20" fillId="0" borderId="9" xfId="103" applyFont="1" applyFill="1" applyBorder="1" applyAlignment="1">
      <alignment horizontal="center" vertical="center"/>
      <protection/>
    </xf>
    <xf numFmtId="49" fontId="20" fillId="0" borderId="9" xfId="103" applyNumberFormat="1" applyFont="1" applyFill="1" applyBorder="1" applyAlignment="1">
      <alignment horizontal="right" vertical="center" wrapText="1"/>
      <protection/>
    </xf>
    <xf numFmtId="175" fontId="20" fillId="0" borderId="9" xfId="103" applyNumberFormat="1" applyFont="1" applyFill="1" applyBorder="1" applyAlignment="1">
      <alignment vertical="center" wrapText="1"/>
      <protection/>
    </xf>
    <xf numFmtId="174" fontId="20" fillId="0" borderId="9" xfId="50" applyNumberFormat="1" applyFont="1" applyFill="1" applyBorder="1" applyAlignment="1">
      <alignment vertical="center" wrapText="1"/>
    </xf>
    <xf numFmtId="175" fontId="20" fillId="0" borderId="9" xfId="103" applyNumberFormat="1" applyFont="1" applyFill="1" applyBorder="1" applyAlignment="1">
      <alignment horizontal="left" vertical="center" wrapText="1"/>
      <protection/>
    </xf>
    <xf numFmtId="175" fontId="20" fillId="0" borderId="9" xfId="59" applyNumberFormat="1" applyFont="1" applyFill="1" applyBorder="1" applyAlignment="1">
      <alignment vertical="center"/>
    </xf>
    <xf numFmtId="43" fontId="20" fillId="0" borderId="9" xfId="50" applyFont="1" applyFill="1" applyBorder="1" applyAlignment="1">
      <alignment vertical="center"/>
    </xf>
    <xf numFmtId="174" fontId="20" fillId="0" borderId="0" xfId="52" applyNumberFormat="1" applyFont="1" applyFill="1" applyBorder="1" applyAlignment="1">
      <alignment vertical="center"/>
    </xf>
    <xf numFmtId="49" fontId="20" fillId="0" borderId="9" xfId="103" applyNumberFormat="1" applyFont="1" applyFill="1" applyBorder="1" applyAlignment="1">
      <alignment vertical="center" wrapText="1"/>
      <protection/>
    </xf>
    <xf numFmtId="49" fontId="20" fillId="0" borderId="9" xfId="103" applyNumberFormat="1" applyFont="1" applyFill="1" applyBorder="1" applyAlignment="1" quotePrefix="1">
      <alignment vertical="center" wrapText="1"/>
      <protection/>
    </xf>
    <xf numFmtId="175" fontId="20" fillId="0" borderId="9" xfId="103" applyNumberFormat="1" applyFont="1" applyFill="1" applyBorder="1" applyAlignment="1" quotePrefix="1">
      <alignment vertical="center" wrapText="1"/>
      <protection/>
    </xf>
    <xf numFmtId="174" fontId="20" fillId="0" borderId="9" xfId="50" applyNumberFormat="1" applyFont="1" applyFill="1" applyBorder="1" applyAlignment="1" quotePrefix="1">
      <alignment vertical="center" wrapText="1"/>
    </xf>
    <xf numFmtId="49" fontId="16" fillId="0" borderId="9" xfId="103" applyNumberFormat="1" applyFont="1" applyFill="1" applyBorder="1" applyAlignment="1">
      <alignment vertical="center" wrapText="1"/>
      <protection/>
    </xf>
    <xf numFmtId="0" fontId="72" fillId="0" borderId="9" xfId="103" applyFont="1" applyFill="1" applyBorder="1" applyAlignment="1">
      <alignment horizontal="center" vertical="center"/>
      <protection/>
    </xf>
    <xf numFmtId="49" fontId="72" fillId="0" borderId="9" xfId="103" applyNumberFormat="1" applyFont="1" applyFill="1" applyBorder="1" applyAlignment="1">
      <alignment horizontal="left" vertical="center" wrapText="1"/>
      <protection/>
    </xf>
    <xf numFmtId="174" fontId="72" fillId="0" borderId="0" xfId="52" applyNumberFormat="1" applyFont="1" applyFill="1" applyBorder="1" applyAlignment="1">
      <alignment vertical="center"/>
    </xf>
    <xf numFmtId="0" fontId="60" fillId="0" borderId="0" xfId="103" applyFont="1" applyFill="1" applyAlignment="1">
      <alignment vertical="center"/>
      <protection/>
    </xf>
    <xf numFmtId="49" fontId="72" fillId="0" borderId="9" xfId="103" applyNumberFormat="1" applyFont="1" applyFill="1" applyBorder="1" applyAlignment="1">
      <alignment vertical="center" wrapText="1"/>
      <protection/>
    </xf>
    <xf numFmtId="49" fontId="20" fillId="0" borderId="9" xfId="103" applyNumberFormat="1" applyFont="1" applyFill="1" applyBorder="1" applyAlignment="1">
      <alignment horizontal="left" vertical="center" wrapText="1"/>
      <protection/>
    </xf>
    <xf numFmtId="174" fontId="61" fillId="0" borderId="0" xfId="50" applyNumberFormat="1" applyFont="1" applyFill="1" applyAlignment="1">
      <alignment vertical="center"/>
    </xf>
    <xf numFmtId="174" fontId="21" fillId="0" borderId="0" xfId="50" applyNumberFormat="1" applyFont="1" applyFill="1" applyAlignment="1">
      <alignment vertical="center"/>
    </xf>
    <xf numFmtId="175" fontId="88" fillId="0" borderId="9" xfId="59" applyNumberFormat="1" applyFont="1" applyFill="1" applyBorder="1" applyAlignment="1">
      <alignment vertical="center"/>
    </xf>
    <xf numFmtId="0" fontId="20" fillId="0" borderId="0" xfId="103" applyFont="1" applyFill="1" applyAlignment="1">
      <alignment horizontal="center" vertical="center"/>
      <protection/>
    </xf>
    <xf numFmtId="43" fontId="20" fillId="0" borderId="0" xfId="50" applyFont="1" applyFill="1" applyAlignment="1">
      <alignment vertical="center"/>
    </xf>
    <xf numFmtId="0" fontId="89" fillId="0" borderId="0" xfId="103" applyFont="1" applyFill="1" applyAlignment="1">
      <alignment horizontal="center" vertical="center"/>
      <protection/>
    </xf>
    <xf numFmtId="0" fontId="20" fillId="0" borderId="0" xfId="103" applyFont="1" applyFill="1" applyAlignment="1">
      <alignment vertical="center"/>
      <protection/>
    </xf>
    <xf numFmtId="49" fontId="20" fillId="0" borderId="0" xfId="103" applyNumberFormat="1" applyFont="1" applyFill="1" applyAlignment="1">
      <alignment horizontal="left" vertical="center"/>
      <protection/>
    </xf>
    <xf numFmtId="175" fontId="20" fillId="0" borderId="0" xfId="103" applyNumberFormat="1" applyFont="1" applyFill="1" applyAlignment="1">
      <alignment horizontal="left" vertical="center"/>
      <protection/>
    </xf>
    <xf numFmtId="4" fontId="20" fillId="0" borderId="0" xfId="103" applyNumberFormat="1" applyFont="1" applyFill="1" applyAlignment="1">
      <alignment horizontal="left" vertical="center"/>
      <protection/>
    </xf>
    <xf numFmtId="43" fontId="20" fillId="0" borderId="0" xfId="50" applyFont="1" applyFill="1" applyAlignment="1">
      <alignment horizontal="left" vertical="center"/>
    </xf>
    <xf numFmtId="174" fontId="20" fillId="0" borderId="0" xfId="52" applyNumberFormat="1" applyFont="1" applyFill="1" applyAlignment="1">
      <alignment horizontal="left" vertical="center"/>
    </xf>
    <xf numFmtId="0" fontId="21" fillId="0" borderId="0" xfId="103" applyFont="1" applyFill="1" applyAlignment="1">
      <alignment horizontal="center" vertical="center"/>
      <protection/>
    </xf>
    <xf numFmtId="49" fontId="21" fillId="0" borderId="0" xfId="103" applyNumberFormat="1" applyFont="1" applyFill="1" applyAlignment="1">
      <alignment vertical="center" wrapText="1"/>
      <protection/>
    </xf>
    <xf numFmtId="175" fontId="21" fillId="0" borderId="0" xfId="103" applyNumberFormat="1" applyFont="1" applyFill="1" applyAlignment="1">
      <alignment vertical="center" wrapText="1"/>
      <protection/>
    </xf>
    <xf numFmtId="174" fontId="21" fillId="0" borderId="0" xfId="50" applyNumberFormat="1" applyFont="1" applyFill="1" applyAlignment="1">
      <alignment vertical="center" wrapText="1"/>
    </xf>
    <xf numFmtId="43" fontId="21" fillId="0" borderId="0" xfId="59" applyFont="1" applyFill="1" applyAlignment="1">
      <alignment vertical="center"/>
    </xf>
    <xf numFmtId="43" fontId="21" fillId="0" borderId="0" xfId="50" applyFont="1" applyFill="1" applyAlignment="1">
      <alignment vertical="center"/>
    </xf>
    <xf numFmtId="174" fontId="21" fillId="0" borderId="0" xfId="52" applyNumberFormat="1" applyFont="1" applyFill="1" applyAlignment="1">
      <alignment vertical="center"/>
    </xf>
    <xf numFmtId="0" fontId="21" fillId="0" borderId="0" xfId="97" applyFont="1" applyFill="1" applyAlignment="1">
      <alignment vertical="center"/>
      <protection/>
    </xf>
    <xf numFmtId="0" fontId="20" fillId="0" borderId="0" xfId="97" applyFont="1" applyFill="1" applyAlignment="1">
      <alignment horizontal="center" vertical="center"/>
      <protection/>
    </xf>
    <xf numFmtId="0" fontId="20" fillId="0" borderId="0" xfId="97" applyFont="1" applyFill="1" applyAlignment="1">
      <alignment vertical="center" wrapText="1"/>
      <protection/>
    </xf>
    <xf numFmtId="0" fontId="20" fillId="0" borderId="0" xfId="97" applyFont="1" applyFill="1" applyAlignment="1">
      <alignment horizontal="center" vertical="center" wrapText="1"/>
      <protection/>
    </xf>
    <xf numFmtId="0" fontId="20" fillId="0" borderId="0" xfId="97" applyFont="1" applyFill="1" applyAlignment="1">
      <alignment vertical="center"/>
      <protection/>
    </xf>
    <xf numFmtId="0" fontId="72" fillId="0" borderId="1" xfId="97" applyFont="1" applyFill="1" applyBorder="1" applyAlignment="1">
      <alignment horizontal="right" vertical="center"/>
      <protection/>
    </xf>
    <xf numFmtId="0" fontId="16" fillId="0" borderId="9" xfId="97" applyFont="1" applyFill="1" applyBorder="1" applyAlignment="1">
      <alignment horizontal="center" vertical="center" wrapText="1"/>
      <protection/>
    </xf>
    <xf numFmtId="0" fontId="61" fillId="0" borderId="0" xfId="97" applyFont="1" applyFill="1" applyAlignment="1">
      <alignment vertical="center" wrapText="1"/>
      <protection/>
    </xf>
    <xf numFmtId="0" fontId="61" fillId="0" borderId="0" xfId="97" applyFont="1" applyFill="1" applyAlignment="1">
      <alignment vertical="center"/>
      <protection/>
    </xf>
    <xf numFmtId="0" fontId="67" fillId="0" borderId="0" xfId="97" applyFont="1" applyFill="1" applyAlignment="1">
      <alignment vertical="center"/>
      <protection/>
    </xf>
    <xf numFmtId="175" fontId="21" fillId="0" borderId="0" xfId="97" applyNumberFormat="1" applyFont="1" applyFill="1" applyAlignment="1">
      <alignment vertical="center"/>
      <protection/>
    </xf>
    <xf numFmtId="175" fontId="60" fillId="0" borderId="0" xfId="97" applyNumberFormat="1" applyFont="1" applyFill="1" applyAlignment="1">
      <alignment vertical="center"/>
      <protection/>
    </xf>
    <xf numFmtId="0" fontId="60" fillId="0" borderId="0" xfId="97" applyFont="1" applyFill="1" applyAlignment="1">
      <alignment vertical="center"/>
      <protection/>
    </xf>
    <xf numFmtId="175" fontId="61" fillId="0" borderId="0" xfId="97" applyNumberFormat="1" applyFont="1" applyFill="1" applyAlignment="1">
      <alignment vertical="center"/>
      <protection/>
    </xf>
    <xf numFmtId="0" fontId="72" fillId="0" borderId="0" xfId="97" applyFont="1" applyFill="1" applyAlignment="1">
      <alignment horizontal="center" vertical="center"/>
      <protection/>
    </xf>
    <xf numFmtId="0" fontId="72" fillId="0" borderId="0" xfId="97" applyFont="1" applyFill="1" applyAlignment="1">
      <alignment vertical="center" wrapText="1"/>
      <protection/>
    </xf>
    <xf numFmtId="0" fontId="72" fillId="0" borderId="0" xfId="97" applyFont="1" applyFill="1" applyAlignment="1">
      <alignment horizontal="center" vertical="center" wrapText="1"/>
      <protection/>
    </xf>
    <xf numFmtId="0" fontId="72" fillId="0" borderId="0" xfId="97" applyFont="1" applyFill="1" applyAlignment="1">
      <alignment vertical="center"/>
      <protection/>
    </xf>
    <xf numFmtId="177" fontId="72" fillId="0" borderId="0" xfId="97" applyNumberFormat="1" applyFont="1" applyFill="1" applyAlignment="1">
      <alignment vertical="center"/>
      <protection/>
    </xf>
    <xf numFmtId="0" fontId="90" fillId="0" borderId="0" xfId="97" applyFont="1" applyFill="1" applyAlignment="1">
      <alignment vertical="center"/>
      <protection/>
    </xf>
    <xf numFmtId="0" fontId="21" fillId="0" borderId="0" xfId="97" applyFont="1" applyFill="1" applyAlignment="1">
      <alignment horizontal="center" vertical="center"/>
      <protection/>
    </xf>
    <xf numFmtId="0" fontId="21" fillId="0" borderId="0" xfId="97" applyFont="1" applyFill="1" applyAlignment="1">
      <alignment vertical="center" wrapText="1"/>
      <protection/>
    </xf>
    <xf numFmtId="0" fontId="21" fillId="0" borderId="0" xfId="97" applyFont="1" applyFill="1" applyAlignment="1">
      <alignment horizontal="center" vertical="center" wrapText="1"/>
      <protection/>
    </xf>
    <xf numFmtId="174" fontId="20" fillId="0" borderId="9" xfId="50" applyNumberFormat="1" applyFont="1" applyFill="1" applyBorder="1" applyAlignment="1">
      <alignment horizontal="center" vertical="center"/>
    </xf>
    <xf numFmtId="175" fontId="20" fillId="0" borderId="9" xfId="50" applyNumberFormat="1" applyFont="1" applyFill="1" applyBorder="1" applyAlignment="1">
      <alignment horizontal="center" vertical="center"/>
    </xf>
    <xf numFmtId="174" fontId="72" fillId="0" borderId="9" xfId="50" applyNumberFormat="1" applyFont="1" applyFill="1" applyBorder="1" applyAlignment="1">
      <alignment horizontal="center" vertical="center"/>
    </xf>
    <xf numFmtId="202" fontId="20" fillId="0" borderId="9" xfId="52" applyNumberFormat="1" applyFont="1" applyFill="1" applyBorder="1" applyAlignment="1">
      <alignment horizontal="center" vertical="center"/>
    </xf>
    <xf numFmtId="205" fontId="20" fillId="0" borderId="9" xfId="52" applyNumberFormat="1" applyFont="1" applyFill="1" applyBorder="1" applyAlignment="1">
      <alignment horizontal="center" vertical="center"/>
    </xf>
    <xf numFmtId="205" fontId="20" fillId="0" borderId="9" xfId="101" applyNumberFormat="1" applyFont="1" applyFill="1" applyBorder="1" applyAlignment="1">
      <alignment horizontal="center" vertical="center"/>
      <protection/>
    </xf>
    <xf numFmtId="199" fontId="20" fillId="0" borderId="9" xfId="54" applyNumberFormat="1" applyFont="1" applyFill="1" applyBorder="1" applyAlignment="1">
      <alignment horizontal="center" vertical="center" wrapText="1"/>
    </xf>
    <xf numFmtId="176" fontId="20" fillId="0" borderId="9" xfId="54" applyNumberFormat="1" applyFont="1" applyFill="1" applyBorder="1" applyAlignment="1">
      <alignment horizontal="center" vertical="center"/>
    </xf>
    <xf numFmtId="176" fontId="20" fillId="0" borderId="9" xfId="101" applyNumberFormat="1" applyFont="1" applyFill="1" applyBorder="1" applyAlignment="1">
      <alignment horizontal="center" vertical="center"/>
      <protection/>
    </xf>
    <xf numFmtId="176" fontId="21" fillId="0" borderId="0" xfId="101" applyNumberFormat="1" applyFont="1" applyFill="1" applyAlignment="1">
      <alignment vertical="center"/>
      <protection/>
    </xf>
    <xf numFmtId="0" fontId="91" fillId="0" borderId="0" xfId="101" applyFont="1" applyAlignment="1">
      <alignment vertical="center" wrapText="1"/>
      <protection/>
    </xf>
    <xf numFmtId="0" fontId="91" fillId="0" borderId="0" xfId="101" applyFont="1" applyAlignment="1">
      <alignment horizontal="center" vertical="center" wrapText="1"/>
      <protection/>
    </xf>
    <xf numFmtId="178" fontId="91" fillId="0" borderId="0" xfId="54" applyNumberFormat="1" applyFont="1" applyAlignment="1">
      <alignment vertical="center" wrapText="1"/>
    </xf>
    <xf numFmtId="0" fontId="80" fillId="0" borderId="0" xfId="101" applyFont="1" applyAlignment="1">
      <alignment vertical="center" wrapText="1"/>
      <protection/>
    </xf>
    <xf numFmtId="0" fontId="80" fillId="0" borderId="0" xfId="101" applyFont="1" applyAlignment="1">
      <alignment horizontal="center" vertical="center" wrapText="1"/>
      <protection/>
    </xf>
    <xf numFmtId="0" fontId="91" fillId="0" borderId="9" xfId="101" applyFont="1" applyBorder="1" applyAlignment="1">
      <alignment horizontal="center" vertical="center" wrapText="1"/>
      <protection/>
    </xf>
    <xf numFmtId="0" fontId="92" fillId="0" borderId="9" xfId="101" applyFont="1" applyBorder="1" applyAlignment="1">
      <alignment horizontal="center" vertical="center" wrapText="1"/>
      <protection/>
    </xf>
    <xf numFmtId="0" fontId="92" fillId="0" borderId="9" xfId="101" applyFont="1" applyBorder="1" applyAlignment="1">
      <alignment vertical="center" wrapText="1"/>
      <protection/>
    </xf>
    <xf numFmtId="0" fontId="80" fillId="0" borderId="9" xfId="101" applyFont="1" applyBorder="1" applyAlignment="1">
      <alignment horizontal="center" vertical="center" wrapText="1"/>
      <protection/>
    </xf>
    <xf numFmtId="0" fontId="80" fillId="0" borderId="9" xfId="101" applyFont="1" applyBorder="1" applyAlignment="1">
      <alignment vertical="center" wrapText="1"/>
      <protection/>
    </xf>
    <xf numFmtId="0" fontId="80" fillId="0" borderId="9" xfId="101" applyFont="1" applyBorder="1" applyAlignment="1">
      <alignment horizontal="right" vertical="center" wrapText="1"/>
      <protection/>
    </xf>
    <xf numFmtId="0" fontId="85" fillId="0" borderId="9" xfId="101" applyFont="1" applyBorder="1" applyAlignment="1" quotePrefix="1">
      <alignment vertical="center" wrapText="1"/>
      <protection/>
    </xf>
    <xf numFmtId="178" fontId="20" fillId="0" borderId="9" xfId="54" applyNumberFormat="1" applyFont="1" applyBorder="1" applyAlignment="1">
      <alignment horizontal="right" vertical="center" wrapText="1"/>
    </xf>
    <xf numFmtId="178" fontId="80" fillId="0" borderId="9" xfId="54" applyNumberFormat="1" applyFont="1" applyBorder="1" applyAlignment="1">
      <alignment vertical="center" wrapText="1"/>
    </xf>
    <xf numFmtId="178" fontId="80" fillId="0" borderId="9" xfId="54" applyNumberFormat="1" applyFont="1" applyBorder="1" applyAlignment="1">
      <alignment horizontal="right" vertical="center" wrapText="1"/>
    </xf>
    <xf numFmtId="43" fontId="91" fillId="0" borderId="0" xfId="54" applyFont="1" applyAlignment="1">
      <alignment vertical="center" wrapText="1"/>
    </xf>
    <xf numFmtId="0" fontId="85" fillId="0" borderId="9" xfId="101" applyFont="1" applyBorder="1" applyAlignment="1">
      <alignment vertical="center" wrapText="1"/>
      <protection/>
    </xf>
    <xf numFmtId="0" fontId="21" fillId="0" borderId="0" xfId="101" applyFont="1" applyFill="1" applyBorder="1" applyAlignment="1">
      <alignment vertical="center"/>
      <protection/>
    </xf>
    <xf numFmtId="0" fontId="93" fillId="0" borderId="37" xfId="101" applyFont="1" applyFill="1" applyBorder="1" applyAlignment="1">
      <alignment horizontal="right" vertical="center"/>
      <protection/>
    </xf>
    <xf numFmtId="0" fontId="21" fillId="0" borderId="9" xfId="101" applyFont="1" applyFill="1" applyBorder="1" applyAlignment="1">
      <alignment horizontal="center" vertical="center"/>
      <protection/>
    </xf>
    <xf numFmtId="0" fontId="61" fillId="0" borderId="9" xfId="101" applyFont="1" applyFill="1" applyBorder="1" applyAlignment="1">
      <alignment horizontal="center" vertical="center" wrapText="1"/>
      <protection/>
    </xf>
    <xf numFmtId="0" fontId="21" fillId="0" borderId="9" xfId="101" applyFont="1" applyFill="1" applyBorder="1" applyAlignment="1">
      <alignment horizontal="center" vertical="center" wrapText="1"/>
      <protection/>
    </xf>
    <xf numFmtId="174" fontId="21" fillId="0" borderId="9" xfId="52" applyNumberFormat="1" applyFont="1" applyFill="1" applyBorder="1" applyAlignment="1">
      <alignment horizontal="center" vertical="center" wrapText="1"/>
    </xf>
    <xf numFmtId="3" fontId="21" fillId="0" borderId="9" xfId="52" applyNumberFormat="1" applyFont="1" applyFill="1" applyBorder="1" applyAlignment="1">
      <alignment horizontal="center" vertical="center"/>
    </xf>
    <xf numFmtId="177" fontId="21" fillId="0" borderId="9" xfId="52" applyNumberFormat="1" applyFont="1" applyFill="1" applyBorder="1" applyAlignment="1">
      <alignment horizontal="center" vertical="center"/>
    </xf>
    <xf numFmtId="0" fontId="61" fillId="0" borderId="9" xfId="101" applyFont="1" applyFill="1" applyBorder="1" applyAlignment="1">
      <alignment horizontal="center" vertical="center"/>
      <protection/>
    </xf>
    <xf numFmtId="0" fontId="61" fillId="0" borderId="9" xfId="101" applyFont="1" applyFill="1" applyBorder="1" applyAlignment="1">
      <alignment horizontal="left" vertical="center" wrapText="1"/>
      <protection/>
    </xf>
    <xf numFmtId="174" fontId="61" fillId="0" borderId="9" xfId="52" applyNumberFormat="1" applyFont="1" applyFill="1" applyBorder="1" applyAlignment="1">
      <alignment horizontal="center" vertical="center" wrapText="1"/>
    </xf>
    <xf numFmtId="3" fontId="61" fillId="0" borderId="9" xfId="52" applyNumberFormat="1" applyFont="1" applyFill="1" applyBorder="1" applyAlignment="1">
      <alignment horizontal="center" vertical="center"/>
    </xf>
    <xf numFmtId="0" fontId="21" fillId="0" borderId="9" xfId="101" applyFont="1" applyFill="1" applyBorder="1" applyAlignment="1">
      <alignment vertical="center" wrapText="1"/>
      <protection/>
    </xf>
    <xf numFmtId="3" fontId="21" fillId="0" borderId="9" xfId="101" applyNumberFormat="1" applyFont="1" applyFill="1" applyBorder="1" applyAlignment="1">
      <alignment horizontal="center" vertical="center" wrapText="1"/>
      <protection/>
    </xf>
    <xf numFmtId="3" fontId="21" fillId="0" borderId="9" xfId="52" applyNumberFormat="1" applyFont="1" applyFill="1" applyBorder="1" applyAlignment="1">
      <alignment horizontal="center" vertical="center" wrapText="1"/>
    </xf>
    <xf numFmtId="3" fontId="21" fillId="0" borderId="9" xfId="99" applyNumberFormat="1" applyFont="1" applyFill="1" applyBorder="1" applyAlignment="1">
      <alignment horizontal="left" vertical="center" wrapText="1"/>
      <protection/>
    </xf>
    <xf numFmtId="0" fontId="21" fillId="0" borderId="9" xfId="101" applyFont="1" applyFill="1" applyBorder="1" applyAlignment="1">
      <alignment horizontal="justify" vertical="top" wrapText="1"/>
      <protection/>
    </xf>
    <xf numFmtId="3" fontId="21" fillId="0" borderId="9" xfId="56" applyNumberFormat="1" applyFont="1" applyFill="1" applyBorder="1" applyAlignment="1">
      <alignment horizontal="center" vertical="center" wrapText="1"/>
    </xf>
    <xf numFmtId="3" fontId="21" fillId="0" borderId="9" xfId="56" applyNumberFormat="1" applyFont="1" applyFill="1" applyBorder="1" applyAlignment="1">
      <alignment horizontal="center" vertical="center"/>
    </xf>
    <xf numFmtId="3" fontId="21" fillId="0" borderId="9" xfId="101" applyNumberFormat="1" applyFont="1" applyFill="1" applyBorder="1" applyAlignment="1">
      <alignment horizontal="center" vertical="center"/>
      <protection/>
    </xf>
    <xf numFmtId="0" fontId="61" fillId="0" borderId="0" xfId="101" applyFont="1" applyFill="1" applyAlignment="1">
      <alignment vertical="center"/>
      <protection/>
    </xf>
    <xf numFmtId="0" fontId="21" fillId="0" borderId="9" xfId="101" applyFont="1" applyFill="1" applyBorder="1" applyAlignment="1">
      <alignment wrapText="1"/>
      <protection/>
    </xf>
    <xf numFmtId="3" fontId="61" fillId="0" borderId="9" xfId="52" applyNumberFormat="1" applyFont="1" applyFill="1" applyBorder="1" applyAlignment="1">
      <alignment horizontal="center" vertical="center" wrapText="1"/>
    </xf>
    <xf numFmtId="3" fontId="20" fillId="0" borderId="9" xfId="101" applyNumberFormat="1" applyFont="1" applyFill="1" applyBorder="1" applyAlignment="1">
      <alignment horizontal="center" vertical="center" wrapText="1"/>
      <protection/>
    </xf>
    <xf numFmtId="178" fontId="20" fillId="0" borderId="9" xfId="52" applyNumberFormat="1" applyFont="1" applyFill="1" applyBorder="1" applyAlignment="1">
      <alignment horizontal="center" vertical="center" wrapText="1"/>
    </xf>
    <xf numFmtId="3" fontId="16" fillId="0" borderId="9" xfId="52" applyNumberFormat="1" applyFont="1" applyFill="1" applyBorder="1" applyAlignment="1">
      <alignment horizontal="center" vertical="center"/>
    </xf>
    <xf numFmtId="0" fontId="90" fillId="0" borderId="0" xfId="101" applyFont="1" applyAlignment="1">
      <alignment wrapText="1"/>
      <protection/>
    </xf>
    <xf numFmtId="0" fontId="66" fillId="0" borderId="0" xfId="101" applyFont="1" applyAlignment="1">
      <alignment horizontal="center" wrapText="1"/>
      <protection/>
    </xf>
    <xf numFmtId="0" fontId="66" fillId="0" borderId="9" xfId="101" applyFont="1" applyBorder="1" applyAlignment="1">
      <alignment horizontal="center" vertical="center" wrapText="1"/>
      <protection/>
    </xf>
    <xf numFmtId="0" fontId="66" fillId="0" borderId="9" xfId="101" applyFont="1" applyBorder="1" applyAlignment="1">
      <alignment horizontal="left" vertical="center" wrapText="1"/>
      <protection/>
    </xf>
    <xf numFmtId="0" fontId="66" fillId="0" borderId="9" xfId="101" applyFont="1" applyFill="1" applyBorder="1" applyAlignment="1">
      <alignment horizontal="center" vertical="center" wrapText="1"/>
      <protection/>
    </xf>
    <xf numFmtId="0" fontId="90" fillId="0" borderId="9" xfId="101" applyFont="1" applyFill="1" applyBorder="1" applyAlignment="1">
      <alignment horizontal="center" vertical="center" wrapText="1"/>
      <protection/>
    </xf>
    <xf numFmtId="0" fontId="90" fillId="0" borderId="9" xfId="101" applyFont="1" applyFill="1" applyBorder="1" applyAlignment="1">
      <alignment vertical="center" wrapText="1"/>
      <protection/>
    </xf>
    <xf numFmtId="0" fontId="90" fillId="0" borderId="9" xfId="101" applyFont="1" applyBorder="1" applyAlignment="1">
      <alignment horizontal="center" vertical="center" wrapText="1"/>
      <protection/>
    </xf>
    <xf numFmtId="0" fontId="90" fillId="0" borderId="9" xfId="101" applyFont="1" applyBorder="1" applyAlignment="1">
      <alignment vertical="center" wrapText="1"/>
      <protection/>
    </xf>
    <xf numFmtId="0" fontId="66" fillId="0" borderId="9" xfId="101" applyFont="1" applyFill="1" applyBorder="1" applyAlignment="1">
      <alignment vertical="center" wrapText="1"/>
      <protection/>
    </xf>
    <xf numFmtId="0" fontId="67" fillId="0" borderId="9" xfId="101" applyFont="1" applyBorder="1" applyAlignment="1">
      <alignment vertical="center" wrapText="1"/>
      <protection/>
    </xf>
    <xf numFmtId="0" fontId="90" fillId="0" borderId="9" xfId="101" applyFont="1" applyBorder="1" applyAlignment="1" quotePrefix="1">
      <alignment horizontal="center" vertical="center" wrapText="1"/>
      <protection/>
    </xf>
    <xf numFmtId="178" fontId="66" fillId="0" borderId="9" xfId="52" applyNumberFormat="1" applyFont="1" applyFill="1" applyBorder="1" applyAlignment="1">
      <alignment horizontal="center" vertical="center" wrapText="1"/>
    </xf>
    <xf numFmtId="178" fontId="90" fillId="0" borderId="9" xfId="54" applyNumberFormat="1" applyFont="1" applyFill="1" applyBorder="1" applyAlignment="1">
      <alignment horizontal="center" vertical="center" wrapText="1"/>
    </xf>
    <xf numFmtId="178" fontId="66" fillId="0" borderId="9" xfId="54" applyNumberFormat="1" applyFont="1" applyFill="1" applyBorder="1" applyAlignment="1">
      <alignment vertical="center" wrapText="1"/>
    </xf>
    <xf numFmtId="0" fontId="66" fillId="0" borderId="9" xfId="101" applyFont="1" applyBorder="1" applyAlignment="1">
      <alignment vertical="center" wrapText="1"/>
      <protection/>
    </xf>
    <xf numFmtId="178" fontId="66" fillId="0" borderId="9" xfId="54" applyNumberFormat="1" applyFont="1" applyFill="1" applyBorder="1" applyAlignment="1">
      <alignment horizontal="center" vertical="center" wrapText="1"/>
    </xf>
    <xf numFmtId="178" fontId="90" fillId="0" borderId="0" xfId="101" applyNumberFormat="1" applyFont="1" applyAlignment="1">
      <alignment wrapText="1"/>
      <protection/>
    </xf>
    <xf numFmtId="178" fontId="66" fillId="0" borderId="9" xfId="52" applyNumberFormat="1" applyFont="1" applyBorder="1" applyAlignment="1">
      <alignment vertical="center" wrapText="1"/>
    </xf>
    <xf numFmtId="178" fontId="90" fillId="0" borderId="9" xfId="54" applyNumberFormat="1" applyFont="1" applyBorder="1" applyAlignment="1">
      <alignment vertical="center" wrapText="1"/>
    </xf>
    <xf numFmtId="0" fontId="66" fillId="0" borderId="0" xfId="101" applyFont="1" applyAlignment="1">
      <alignment wrapText="1"/>
      <protection/>
    </xf>
    <xf numFmtId="43" fontId="61" fillId="0" borderId="0" xfId="0" applyNumberFormat="1" applyFont="1" applyFill="1" applyAlignment="1">
      <alignment vertical="center"/>
    </xf>
    <xf numFmtId="2" fontId="72" fillId="0" borderId="9" xfId="100" applyNumberFormat="1" applyFont="1" applyFill="1" applyBorder="1" applyAlignment="1">
      <alignment horizontal="right" vertical="center"/>
      <protection/>
    </xf>
    <xf numFmtId="43" fontId="20" fillId="0" borderId="9" xfId="50" applyFont="1" applyFill="1" applyBorder="1" applyAlignment="1">
      <alignment vertical="center"/>
    </xf>
    <xf numFmtId="0" fontId="21" fillId="0" borderId="0" xfId="102" applyFont="1" applyFill="1" applyAlignment="1">
      <alignment vertical="center"/>
      <protection/>
    </xf>
    <xf numFmtId="0" fontId="21" fillId="0" borderId="0" xfId="102" applyFont="1" applyFill="1" applyAlignment="1">
      <alignment vertical="center" wrapText="1"/>
      <protection/>
    </xf>
    <xf numFmtId="0" fontId="16" fillId="0" borderId="26" xfId="102" applyFont="1" applyFill="1" applyBorder="1" applyAlignment="1">
      <alignment horizontal="center" vertical="center" wrapText="1"/>
      <protection/>
    </xf>
    <xf numFmtId="0" fontId="16" fillId="0" borderId="9" xfId="102" applyFont="1" applyFill="1" applyBorder="1" applyAlignment="1">
      <alignment horizontal="center" vertical="center" wrapText="1"/>
      <protection/>
    </xf>
    <xf numFmtId="0" fontId="61" fillId="0" borderId="0" xfId="102" applyFont="1" applyFill="1" applyAlignment="1">
      <alignment vertical="center" wrapText="1"/>
      <protection/>
    </xf>
    <xf numFmtId="0" fontId="16" fillId="0" borderId="9" xfId="102" applyFont="1" applyFill="1" applyBorder="1" applyAlignment="1">
      <alignment horizontal="center" vertical="center"/>
      <protection/>
    </xf>
    <xf numFmtId="0" fontId="20" fillId="0" borderId="9" xfId="102" applyFont="1" applyFill="1" applyBorder="1" applyAlignment="1">
      <alignment horizontal="center" vertical="center" wrapText="1"/>
      <protection/>
    </xf>
    <xf numFmtId="0" fontId="61" fillId="0" borderId="0" xfId="102" applyFont="1" applyFill="1" applyAlignment="1">
      <alignment vertical="center"/>
      <protection/>
    </xf>
    <xf numFmtId="171" fontId="61" fillId="0" borderId="0" xfId="102" applyNumberFormat="1" applyFont="1" applyFill="1" applyAlignment="1">
      <alignment vertical="center"/>
      <protection/>
    </xf>
    <xf numFmtId="0" fontId="72" fillId="0" borderId="9" xfId="102" applyFont="1" applyFill="1" applyBorder="1" applyAlignment="1">
      <alignment horizontal="center" vertical="center"/>
      <protection/>
    </xf>
    <xf numFmtId="0" fontId="72" fillId="0" borderId="9" xfId="102" applyFont="1" applyFill="1" applyBorder="1" applyAlignment="1">
      <alignment horizontal="left" vertical="center" wrapText="1"/>
      <protection/>
    </xf>
    <xf numFmtId="0" fontId="60" fillId="0" borderId="0" xfId="102" applyFont="1" applyFill="1" applyAlignment="1">
      <alignment vertical="center"/>
      <protection/>
    </xf>
    <xf numFmtId="0" fontId="72" fillId="0" borderId="9" xfId="102" applyFont="1" applyFill="1" applyBorder="1" applyAlignment="1">
      <alignment horizontal="center" vertical="center" wrapText="1"/>
      <protection/>
    </xf>
    <xf numFmtId="171" fontId="60" fillId="0" borderId="0" xfId="102" applyNumberFormat="1" applyFont="1" applyFill="1" applyAlignment="1">
      <alignment vertical="center"/>
      <protection/>
    </xf>
    <xf numFmtId="0" fontId="16" fillId="0" borderId="9" xfId="102" applyFont="1" applyFill="1" applyBorder="1" applyAlignment="1">
      <alignment horizontal="left" vertical="center" wrapText="1"/>
      <protection/>
    </xf>
    <xf numFmtId="2" fontId="19" fillId="0" borderId="15" xfId="102" applyNumberFormat="1" applyFont="1" applyFill="1" applyBorder="1">
      <alignment/>
      <protection/>
    </xf>
    <xf numFmtId="0" fontId="16" fillId="0" borderId="9" xfId="102" applyFont="1" applyFill="1" applyBorder="1" applyAlignment="1">
      <alignment vertical="center" wrapText="1"/>
      <protection/>
    </xf>
    <xf numFmtId="43" fontId="20" fillId="0" borderId="0" xfId="50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Alignment="1">
      <alignment horizontal="right" vertical="center"/>
      <protection/>
    </xf>
    <xf numFmtId="43" fontId="61" fillId="0" borderId="0" xfId="102" applyNumberFormat="1" applyFont="1" applyFill="1" applyAlignment="1">
      <alignment vertical="center"/>
      <protection/>
    </xf>
    <xf numFmtId="0" fontId="20" fillId="0" borderId="9" xfId="102" applyFont="1" applyFill="1" applyBorder="1" applyAlignment="1">
      <alignment horizontal="center" vertical="center"/>
      <protection/>
    </xf>
    <xf numFmtId="0" fontId="16" fillId="0" borderId="9" xfId="102" applyFont="1" applyFill="1" applyBorder="1" applyAlignment="1">
      <alignment horizontal="center" vertical="center"/>
      <protection/>
    </xf>
    <xf numFmtId="0" fontId="16" fillId="0" borderId="9" xfId="102" applyFont="1" applyFill="1" applyBorder="1" applyAlignment="1">
      <alignment horizontal="left" vertical="center" wrapText="1"/>
      <protection/>
    </xf>
    <xf numFmtId="43" fontId="37" fillId="0" borderId="9" xfId="50" applyNumberFormat="1" applyFont="1" applyFill="1" applyBorder="1" applyAlignment="1">
      <alignment vertical="center"/>
    </xf>
    <xf numFmtId="0" fontId="61" fillId="0" borderId="0" xfId="102" applyFont="1" applyFill="1" applyAlignment="1">
      <alignment vertical="center"/>
      <protection/>
    </xf>
    <xf numFmtId="202" fontId="37" fillId="0" borderId="9" xfId="50" applyNumberFormat="1" applyFont="1" applyFill="1" applyBorder="1" applyAlignment="1">
      <alignment horizontal="right" vertical="center"/>
    </xf>
    <xf numFmtId="0" fontId="20" fillId="0" borderId="0" xfId="102" applyFont="1" applyFill="1" applyAlignment="1">
      <alignment horizontal="center" vertical="center"/>
      <protection/>
    </xf>
    <xf numFmtId="0" fontId="20" fillId="0" borderId="0" xfId="102" applyFont="1" applyFill="1" applyAlignment="1">
      <alignment vertical="center"/>
      <protection/>
    </xf>
    <xf numFmtId="0" fontId="20" fillId="0" borderId="0" xfId="102" applyFont="1" applyFill="1" applyAlignment="1">
      <alignment vertical="center" wrapText="1"/>
      <protection/>
    </xf>
    <xf numFmtId="0" fontId="21" fillId="0" borderId="0" xfId="102" applyFont="1" applyFill="1" applyAlignment="1">
      <alignment horizontal="center" vertical="center"/>
      <protection/>
    </xf>
    <xf numFmtId="0" fontId="35" fillId="0" borderId="0" xfId="102" applyFont="1" applyFill="1" applyAlignment="1">
      <alignment/>
      <protection/>
    </xf>
    <xf numFmtId="174" fontId="16" fillId="0" borderId="9" xfId="50" applyNumberFormat="1" applyFont="1" applyFill="1" applyBorder="1" applyAlignment="1">
      <alignment horizontal="right" vertical="center" wrapText="1"/>
    </xf>
    <xf numFmtId="174" fontId="61" fillId="0" borderId="9" xfId="50" applyNumberFormat="1" applyFont="1" applyFill="1" applyBorder="1" applyAlignment="1">
      <alignment horizontal="right" vertical="center" wrapText="1"/>
    </xf>
    <xf numFmtId="208" fontId="61" fillId="0" borderId="0" xfId="103" applyNumberFormat="1" applyFont="1" applyFill="1" applyAlignment="1">
      <alignment vertical="center"/>
      <protection/>
    </xf>
    <xf numFmtId="200" fontId="61" fillId="0" borderId="0" xfId="103" applyNumberFormat="1" applyFont="1" applyFill="1" applyAlignment="1">
      <alignment vertical="center"/>
      <protection/>
    </xf>
    <xf numFmtId="174" fontId="72" fillId="0" borderId="9" xfId="50" applyNumberFormat="1" applyFont="1" applyFill="1" applyBorder="1" applyAlignment="1">
      <alignment horizontal="right" vertical="center" wrapText="1"/>
    </xf>
    <xf numFmtId="174" fontId="20" fillId="0" borderId="9" xfId="50" applyNumberFormat="1" applyFont="1" applyFill="1" applyBorder="1" applyAlignment="1">
      <alignment horizontal="right" vertical="center" wrapText="1"/>
    </xf>
    <xf numFmtId="174" fontId="41" fillId="0" borderId="9" xfId="50" applyNumberFormat="1" applyFont="1" applyFill="1" applyBorder="1" applyAlignment="1">
      <alignment horizontal="right" vertical="center" wrapText="1"/>
    </xf>
    <xf numFmtId="174" fontId="20" fillId="0" borderId="9" xfId="50" applyNumberFormat="1" applyFont="1" applyFill="1" applyBorder="1" applyAlignment="1">
      <alignment horizontal="right" vertical="center" wrapText="1"/>
    </xf>
    <xf numFmtId="174" fontId="87" fillId="0" borderId="9" xfId="50" applyNumberFormat="1" applyFont="1" applyFill="1" applyBorder="1" applyAlignment="1">
      <alignment horizontal="right" vertical="center" wrapText="1"/>
    </xf>
    <xf numFmtId="0" fontId="20" fillId="0" borderId="0" xfId="102" applyFont="1" applyFill="1" applyBorder="1" applyAlignment="1">
      <alignment horizontal="left" vertical="center" wrapText="1"/>
      <protection/>
    </xf>
    <xf numFmtId="174" fontId="60" fillId="0" borderId="9" xfId="50" applyNumberFormat="1" applyFont="1" applyFill="1" applyBorder="1" applyAlignment="1">
      <alignment horizontal="right" vertical="center" wrapText="1"/>
    </xf>
    <xf numFmtId="174" fontId="21" fillId="0" borderId="9" xfId="50" applyNumberFormat="1" applyFont="1" applyFill="1" applyBorder="1" applyAlignment="1">
      <alignment horizontal="right" vertical="center" wrapText="1"/>
    </xf>
    <xf numFmtId="10" fontId="61" fillId="0" borderId="0" xfId="107" applyNumberFormat="1" applyFont="1" applyFill="1" applyAlignment="1">
      <alignment vertical="center"/>
    </xf>
    <xf numFmtId="209" fontId="61" fillId="0" borderId="0" xfId="107" applyNumberFormat="1" applyFont="1" applyFill="1" applyAlignment="1">
      <alignment vertical="center"/>
    </xf>
    <xf numFmtId="210" fontId="61" fillId="0" borderId="0" xfId="102" applyNumberFormat="1" applyFont="1" applyFill="1" applyAlignment="1">
      <alignment vertical="center"/>
      <protection/>
    </xf>
    <xf numFmtId="199" fontId="16" fillId="0" borderId="9" xfId="50" applyNumberFormat="1" applyFont="1" applyFill="1" applyBorder="1" applyAlignment="1">
      <alignment horizontal="left" vertical="center"/>
    </xf>
    <xf numFmtId="0" fontId="72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 quotePrefix="1">
      <alignment vertical="center" wrapText="1"/>
    </xf>
    <xf numFmtId="199" fontId="20" fillId="0" borderId="9" xfId="5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center" wrapText="1"/>
    </xf>
    <xf numFmtId="0" fontId="66" fillId="0" borderId="0" xfId="101" applyFont="1" applyFill="1" applyAlignment="1">
      <alignment vertical="center" wrapText="1"/>
      <protection/>
    </xf>
    <xf numFmtId="178" fontId="61" fillId="0" borderId="0" xfId="0" applyNumberFormat="1" applyFont="1" applyFill="1" applyAlignment="1">
      <alignment vertical="center"/>
    </xf>
    <xf numFmtId="178" fontId="16" fillId="0" borderId="9" xfId="0" applyNumberFormat="1" applyFont="1" applyFill="1" applyBorder="1" applyAlignment="1">
      <alignment horizontal="center" vertical="center"/>
    </xf>
    <xf numFmtId="0" fontId="66" fillId="0" borderId="0" xfId="102" applyFont="1" applyFill="1" applyAlignment="1">
      <alignment vertical="center" wrapText="1"/>
      <protection/>
    </xf>
    <xf numFmtId="0" fontId="66" fillId="0" borderId="0" xfId="97" applyFont="1" applyFill="1" applyAlignment="1">
      <alignment vertical="center" wrapText="1"/>
      <protection/>
    </xf>
    <xf numFmtId="0" fontId="20" fillId="0" borderId="0" xfId="101" applyFont="1" applyFill="1" applyBorder="1" applyAlignment="1">
      <alignment horizontal="left" vertical="center" wrapText="1"/>
      <protection/>
    </xf>
    <xf numFmtId="43" fontId="20" fillId="0" borderId="9" xfId="52" applyNumberFormat="1" applyFont="1" applyFill="1" applyBorder="1" applyAlignment="1">
      <alignment horizontal="center" vertical="center"/>
    </xf>
    <xf numFmtId="4" fontId="61" fillId="0" borderId="0" xfId="0" applyNumberFormat="1" applyFont="1" applyFill="1" applyAlignment="1">
      <alignment vertical="center"/>
    </xf>
    <xf numFmtId="3" fontId="16" fillId="0" borderId="0" xfId="101" applyNumberFormat="1" applyFont="1" applyFill="1" applyAlignment="1">
      <alignment horizontal="right" vertical="center"/>
      <protection/>
    </xf>
    <xf numFmtId="3" fontId="20" fillId="0" borderId="9" xfId="0" applyNumberFormat="1" applyFont="1" applyFill="1" applyBorder="1" applyAlignment="1">
      <alignment horizontal="right" vertical="center"/>
    </xf>
    <xf numFmtId="3" fontId="20" fillId="0" borderId="0" xfId="101" applyNumberFormat="1" applyFont="1" applyFill="1" applyAlignment="1">
      <alignment vertical="center"/>
      <protection/>
    </xf>
    <xf numFmtId="43" fontId="60" fillId="0" borderId="9" xfId="102" applyNumberFormat="1" applyFont="1" applyFill="1" applyBorder="1" applyAlignment="1">
      <alignment vertical="center"/>
      <protection/>
    </xf>
    <xf numFmtId="43" fontId="20" fillId="0" borderId="9" xfId="56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174" fontId="20" fillId="0" borderId="9" xfId="50" applyNumberFormat="1" applyFont="1" applyFill="1" applyBorder="1" applyAlignment="1">
      <alignment horizontal="center" vertical="center" wrapText="1"/>
    </xf>
    <xf numFmtId="43" fontId="20" fillId="0" borderId="9" xfId="50" applyNumberFormat="1" applyFont="1" applyFill="1" applyBorder="1" applyAlignment="1">
      <alignment horizontal="center" vertical="center" wrapText="1"/>
    </xf>
    <xf numFmtId="4" fontId="20" fillId="0" borderId="9" xfId="50" applyNumberFormat="1" applyFont="1" applyFill="1" applyBorder="1" applyAlignment="1">
      <alignment vertical="center" wrapText="1"/>
    </xf>
    <xf numFmtId="43" fontId="72" fillId="0" borderId="9" xfId="5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178" fontId="20" fillId="0" borderId="9" xfId="50" applyNumberFormat="1" applyFont="1" applyFill="1" applyBorder="1" applyAlignment="1">
      <alignment horizontal="center" vertical="center" wrapText="1"/>
    </xf>
    <xf numFmtId="178" fontId="20" fillId="0" borderId="9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178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 quotePrefix="1">
      <alignment horizontal="left" vertical="center" wrapText="1"/>
    </xf>
    <xf numFmtId="43" fontId="20" fillId="0" borderId="9" xfId="5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right" vertical="center"/>
    </xf>
    <xf numFmtId="177" fontId="20" fillId="0" borderId="9" xfId="0" applyNumberFormat="1" applyFont="1" applyFill="1" applyBorder="1" applyAlignment="1">
      <alignment vertical="center"/>
    </xf>
    <xf numFmtId="174" fontId="20" fillId="0" borderId="9" xfId="52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20" fillId="0" borderId="9" xfId="0" applyFont="1" applyFill="1" applyBorder="1" applyAlignment="1" quotePrefix="1">
      <alignment horizontal="right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0" fontId="95" fillId="0" borderId="37" xfId="0" applyFont="1" applyFill="1" applyBorder="1" applyAlignment="1">
      <alignment horizontal="right" vertical="center"/>
    </xf>
    <xf numFmtId="0" fontId="93" fillId="0" borderId="0" xfId="101" applyFont="1" applyFill="1" applyBorder="1" applyAlignment="1">
      <alignment horizontal="right" vertical="center"/>
      <protection/>
    </xf>
    <xf numFmtId="0" fontId="20" fillId="0" borderId="0" xfId="101" applyFont="1" applyFill="1" applyAlignment="1">
      <alignment horizontal="center" vertical="center"/>
      <protection/>
    </xf>
    <xf numFmtId="0" fontId="20" fillId="0" borderId="0" xfId="101" applyFont="1" applyFill="1" applyAlignment="1">
      <alignment vertical="center" wrapText="1"/>
      <protection/>
    </xf>
    <xf numFmtId="0" fontId="20" fillId="0" borderId="0" xfId="101" applyFont="1" applyFill="1" applyAlignment="1">
      <alignment horizontal="center" vertical="center" wrapText="1"/>
      <protection/>
    </xf>
    <xf numFmtId="0" fontId="20" fillId="0" borderId="0" xfId="101" applyFont="1" applyFill="1" applyAlignment="1">
      <alignment vertical="center"/>
      <protection/>
    </xf>
    <xf numFmtId="0" fontId="20" fillId="0" borderId="9" xfId="101" applyFont="1" applyFill="1" applyBorder="1" applyAlignment="1">
      <alignment horizontal="center" vertical="top"/>
      <protection/>
    </xf>
    <xf numFmtId="0" fontId="20" fillId="0" borderId="9" xfId="101" applyFont="1" applyFill="1" applyBorder="1" applyAlignment="1" quotePrefix="1">
      <alignment vertical="center" wrapText="1"/>
      <protection/>
    </xf>
    <xf numFmtId="0" fontId="20" fillId="0" borderId="9" xfId="101" applyFont="1" applyFill="1" applyBorder="1" applyAlignment="1" quotePrefix="1">
      <alignment horizontal="center" vertical="center" wrapText="1"/>
      <protection/>
    </xf>
    <xf numFmtId="0" fontId="20" fillId="0" borderId="9" xfId="101" applyFont="1" applyFill="1" applyBorder="1" applyAlignment="1">
      <alignment horizontal="center" vertical="center"/>
      <protection/>
    </xf>
    <xf numFmtId="0" fontId="20" fillId="0" borderId="9" xfId="111" applyFont="1" applyFill="1" applyBorder="1" applyAlignment="1" quotePrefix="1">
      <alignment horizontal="center" vertical="center" wrapText="1"/>
      <protection/>
    </xf>
    <xf numFmtId="175" fontId="20" fillId="0" borderId="0" xfId="57" applyNumberFormat="1" applyFont="1" applyFill="1" applyAlignment="1">
      <alignment vertical="center"/>
    </xf>
    <xf numFmtId="0" fontId="20" fillId="0" borderId="0" xfId="101" applyFont="1" applyFill="1" applyAlignment="1">
      <alignment horizontal="right" vertical="center" wrapText="1"/>
      <protection/>
    </xf>
    <xf numFmtId="0" fontId="20" fillId="0" borderId="0" xfId="101" applyFont="1" applyFill="1" applyAlignment="1">
      <alignment horizontal="left" vertical="center"/>
      <protection/>
    </xf>
    <xf numFmtId="0" fontId="66" fillId="0" borderId="0" xfId="101" applyFont="1" applyFill="1" applyAlignment="1">
      <alignment vertical="center"/>
      <protection/>
    </xf>
    <xf numFmtId="0" fontId="66" fillId="0" borderId="0" xfId="101" applyFont="1" applyFill="1" applyAlignment="1">
      <alignment horizontal="center" vertical="center" wrapText="1"/>
      <protection/>
    </xf>
    <xf numFmtId="0" fontId="96" fillId="0" borderId="37" xfId="101" applyFont="1" applyFill="1" applyBorder="1" applyAlignment="1">
      <alignment horizontal="right" vertical="center"/>
      <protection/>
    </xf>
    <xf numFmtId="174" fontId="72" fillId="0" borderId="9" xfId="50" applyNumberFormat="1" applyFont="1" applyFill="1" applyBorder="1" applyAlignment="1">
      <alignment horizontal="center" vertical="center" wrapText="1"/>
    </xf>
    <xf numFmtId="3" fontId="20" fillId="0" borderId="9" xfId="52" applyNumberFormat="1" applyFont="1" applyFill="1" applyBorder="1" applyAlignment="1">
      <alignment horizontal="center" vertical="center"/>
    </xf>
    <xf numFmtId="0" fontId="21" fillId="0" borderId="38" xfId="101" applyFont="1" applyFill="1" applyBorder="1" applyAlignment="1">
      <alignment vertical="center"/>
      <protection/>
    </xf>
    <xf numFmtId="0" fontId="61" fillId="0" borderId="38" xfId="101" applyFont="1" applyFill="1" applyBorder="1" applyAlignment="1">
      <alignment horizontal="right" vertical="center"/>
      <protection/>
    </xf>
    <xf numFmtId="0" fontId="61" fillId="0" borderId="0" xfId="101" applyFont="1" applyFill="1" applyBorder="1" applyAlignment="1">
      <alignment vertical="center"/>
      <protection/>
    </xf>
    <xf numFmtId="175" fontId="20" fillId="0" borderId="9" xfId="52" applyNumberFormat="1" applyFont="1" applyFill="1" applyBorder="1" applyAlignment="1">
      <alignment horizontal="center" vertical="center"/>
    </xf>
    <xf numFmtId="0" fontId="95" fillId="0" borderId="37" xfId="101" applyFont="1" applyFill="1" applyBorder="1" applyAlignment="1">
      <alignment horizontal="right" vertical="center"/>
      <protection/>
    </xf>
    <xf numFmtId="3" fontId="20" fillId="0" borderId="9" xfId="94" applyNumberFormat="1" applyFont="1" applyFill="1" applyBorder="1" applyAlignment="1">
      <alignment vertical="center"/>
      <protection/>
    </xf>
    <xf numFmtId="3" fontId="20" fillId="0" borderId="9" xfId="50" applyNumberFormat="1" applyFont="1" applyFill="1" applyBorder="1" applyAlignment="1">
      <alignment horizontal="center" vertical="center"/>
    </xf>
    <xf numFmtId="0" fontId="66" fillId="0" borderId="0" xfId="102" applyFont="1" applyFill="1" applyAlignment="1">
      <alignment vertical="center"/>
      <protection/>
    </xf>
    <xf numFmtId="0" fontId="66" fillId="0" borderId="0" xfId="102" applyFont="1" applyFill="1" applyAlignment="1">
      <alignment horizontal="center" vertical="center" wrapText="1"/>
      <protection/>
    </xf>
    <xf numFmtId="0" fontId="96" fillId="0" borderId="37" xfId="102" applyFont="1" applyFill="1" applyBorder="1" applyAlignment="1">
      <alignment horizontal="right" vertical="center"/>
      <protection/>
    </xf>
    <xf numFmtId="174" fontId="66" fillId="0" borderId="0" xfId="50" applyNumberFormat="1" applyFont="1" applyFill="1" applyAlignment="1">
      <alignment horizontal="center" vertical="center" wrapText="1"/>
    </xf>
    <xf numFmtId="0" fontId="66" fillId="0" borderId="0" xfId="97" applyFont="1" applyFill="1" applyAlignment="1">
      <alignment horizontal="center" vertical="center"/>
      <protection/>
    </xf>
    <xf numFmtId="0" fontId="66" fillId="0" borderId="0" xfId="97" applyFont="1" applyFill="1" applyAlignment="1">
      <alignment horizontal="center" vertical="center" wrapText="1"/>
      <protection/>
    </xf>
    <xf numFmtId="0" fontId="66" fillId="0" borderId="0" xfId="97" applyFont="1" applyFill="1" applyAlignment="1">
      <alignment vertical="center"/>
      <protection/>
    </xf>
    <xf numFmtId="0" fontId="66" fillId="0" borderId="0" xfId="101" applyFont="1" applyFill="1" applyAlignment="1">
      <alignment horizontal="center" vertical="center"/>
      <protection/>
    </xf>
    <xf numFmtId="0" fontId="66" fillId="0" borderId="0" xfId="101" applyFont="1" applyFill="1" applyBorder="1" applyAlignment="1">
      <alignment vertical="center"/>
      <protection/>
    </xf>
    <xf numFmtId="178" fontId="20" fillId="0" borderId="9" xfId="50" applyNumberFormat="1" applyFont="1" applyFill="1" applyBorder="1" applyAlignment="1">
      <alignment horizontal="center" vertical="center" wrapText="1"/>
    </xf>
    <xf numFmtId="0" fontId="72" fillId="0" borderId="9" xfId="94" applyFont="1" applyFill="1" applyBorder="1" applyAlignment="1">
      <alignment horizontal="center" vertical="center"/>
      <protection/>
    </xf>
    <xf numFmtId="0" fontId="97" fillId="0" borderId="9" xfId="111" applyFont="1" applyFill="1" applyBorder="1" applyAlignment="1">
      <alignment vertical="center"/>
      <protection/>
    </xf>
    <xf numFmtId="174" fontId="72" fillId="0" borderId="9" xfId="52" applyNumberFormat="1" applyFont="1" applyFill="1" applyBorder="1" applyAlignment="1">
      <alignment horizontal="center" vertical="center" wrapText="1"/>
    </xf>
    <xf numFmtId="0" fontId="60" fillId="0" borderId="0" xfId="94" applyFont="1" applyFill="1" applyAlignment="1">
      <alignment vertical="center"/>
      <protection/>
    </xf>
    <xf numFmtId="174" fontId="61" fillId="0" borderId="0" xfId="0" applyNumberFormat="1" applyFont="1" applyFill="1" applyAlignment="1">
      <alignment vertical="center"/>
    </xf>
    <xf numFmtId="1" fontId="20" fillId="0" borderId="0" xfId="101" applyNumberFormat="1" applyFont="1" applyFill="1" applyAlignment="1">
      <alignment horizontal="center" vertical="center"/>
      <protection/>
    </xf>
    <xf numFmtId="206" fontId="63" fillId="0" borderId="0" xfId="0" applyNumberFormat="1" applyFont="1" applyFill="1" applyAlignment="1">
      <alignment vertical="center"/>
    </xf>
    <xf numFmtId="174" fontId="72" fillId="0" borderId="9" xfId="100" applyNumberFormat="1" applyFont="1" applyFill="1" applyBorder="1" applyAlignment="1">
      <alignment horizontal="right" vertical="center"/>
      <protection/>
    </xf>
    <xf numFmtId="211" fontId="61" fillId="0" borderId="0" xfId="0" applyNumberFormat="1" applyFont="1" applyFill="1" applyAlignment="1">
      <alignment vertical="center"/>
    </xf>
    <xf numFmtId="178" fontId="20" fillId="0" borderId="9" xfId="50" applyNumberFormat="1" applyFont="1" applyFill="1" applyBorder="1" applyAlignment="1">
      <alignment horizontal="center" vertical="center"/>
    </xf>
    <xf numFmtId="0" fontId="21" fillId="0" borderId="9" xfId="94" applyFont="1" applyFill="1" applyBorder="1" applyAlignment="1">
      <alignment vertical="center" wrapText="1"/>
      <protection/>
    </xf>
    <xf numFmtId="199" fontId="72" fillId="0" borderId="9" xfId="50" applyNumberFormat="1" applyFont="1" applyFill="1" applyBorder="1" applyAlignment="1">
      <alignment horizontal="left" vertical="center"/>
    </xf>
    <xf numFmtId="207" fontId="60" fillId="0" borderId="0" xfId="102" applyNumberFormat="1" applyFont="1" applyFill="1" applyAlignment="1">
      <alignment vertical="center"/>
      <protection/>
    </xf>
    <xf numFmtId="201" fontId="16" fillId="0" borderId="9" xfId="50" applyNumberFormat="1" applyFont="1" applyFill="1" applyBorder="1" applyAlignment="1">
      <alignment horizontal="center" vertical="center"/>
    </xf>
    <xf numFmtId="206" fontId="42" fillId="0" borderId="0" xfId="103" applyNumberFormat="1" applyFont="1" applyFill="1" applyAlignment="1">
      <alignment vertical="center"/>
      <protection/>
    </xf>
    <xf numFmtId="0" fontId="21" fillId="0" borderId="0" xfId="96" applyFont="1" applyFill="1" applyAlignment="1">
      <alignment vertical="center"/>
      <protection/>
    </xf>
    <xf numFmtId="210" fontId="61" fillId="38" borderId="0" xfId="102" applyNumberFormat="1" applyFont="1" applyFill="1" applyAlignment="1">
      <alignment vertical="center"/>
      <protection/>
    </xf>
    <xf numFmtId="10" fontId="63" fillId="0" borderId="0" xfId="107" applyNumberFormat="1" applyFont="1" applyFill="1" applyAlignment="1">
      <alignment vertical="center"/>
    </xf>
    <xf numFmtId="43" fontId="98" fillId="0" borderId="9" xfId="52" applyNumberFormat="1" applyFont="1" applyFill="1" applyBorder="1" applyAlignment="1">
      <alignment horizontal="center" vertical="center"/>
    </xf>
    <xf numFmtId="4" fontId="20" fillId="0" borderId="9" xfId="52" applyNumberFormat="1" applyFont="1" applyFill="1" applyBorder="1" applyAlignment="1">
      <alignment horizontal="right" vertical="center"/>
    </xf>
    <xf numFmtId="4" fontId="98" fillId="0" borderId="9" xfId="52" applyNumberFormat="1" applyFont="1" applyFill="1" applyBorder="1" applyAlignment="1">
      <alignment horizontal="right" vertical="center"/>
    </xf>
    <xf numFmtId="10" fontId="16" fillId="0" borderId="0" xfId="107" applyNumberFormat="1" applyFont="1" applyFill="1" applyAlignment="1">
      <alignment horizontal="left" vertical="center"/>
    </xf>
    <xf numFmtId="174" fontId="16" fillId="0" borderId="9" xfId="50" applyNumberFormat="1" applyFont="1" applyFill="1" applyBorder="1" applyAlignment="1" quotePrefix="1">
      <alignment horizontal="center" vertical="center" wrapText="1"/>
    </xf>
    <xf numFmtId="43" fontId="72" fillId="0" borderId="9" xfId="50" applyNumberFormat="1" applyFont="1" applyFill="1" applyBorder="1" applyAlignment="1">
      <alignment horizontal="left" vertical="center" wrapText="1"/>
    </xf>
    <xf numFmtId="178" fontId="72" fillId="0" borderId="9" xfId="50" applyNumberFormat="1" applyFont="1" applyFill="1" applyBorder="1" applyAlignment="1" quotePrefix="1">
      <alignment horizontal="center" vertical="center" wrapText="1"/>
    </xf>
    <xf numFmtId="3" fontId="16" fillId="0" borderId="9" xfId="101" applyNumberFormat="1" applyFont="1" applyFill="1" applyBorder="1" applyAlignment="1">
      <alignment wrapText="1"/>
      <protection/>
    </xf>
    <xf numFmtId="3" fontId="20" fillId="0" borderId="9" xfId="101" applyNumberFormat="1" applyFont="1" applyFill="1" applyBorder="1" applyAlignment="1">
      <alignment horizontal="center" wrapText="1"/>
      <protection/>
    </xf>
    <xf numFmtId="3" fontId="20" fillId="0" borderId="9" xfId="101" applyNumberFormat="1" applyFont="1" applyFill="1" applyBorder="1" applyAlignment="1">
      <alignment wrapText="1"/>
      <protection/>
    </xf>
    <xf numFmtId="3" fontId="20" fillId="0" borderId="9" xfId="101" applyNumberFormat="1" applyFont="1" applyFill="1" applyBorder="1" applyAlignment="1">
      <alignment horizontal="right" vertical="center" wrapText="1"/>
      <protection/>
    </xf>
    <xf numFmtId="3" fontId="20" fillId="0" borderId="9" xfId="101" applyNumberFormat="1" applyFont="1" applyFill="1" applyBorder="1" applyAlignment="1">
      <alignment horizontal="right"/>
      <protection/>
    </xf>
    <xf numFmtId="0" fontId="20" fillId="0" borderId="15" xfId="101" applyFont="1" applyFill="1" applyBorder="1" applyAlignment="1">
      <alignment horizontal="center" vertical="center"/>
      <protection/>
    </xf>
    <xf numFmtId="178" fontId="20" fillId="0" borderId="9" xfId="56" applyNumberFormat="1" applyFont="1" applyFill="1" applyBorder="1" applyAlignment="1">
      <alignment horizontal="center" vertical="center"/>
    </xf>
    <xf numFmtId="3" fontId="20" fillId="0" borderId="9" xfId="56" applyNumberFormat="1" applyFont="1" applyFill="1" applyBorder="1" applyAlignment="1">
      <alignment horizontal="center" vertical="center"/>
    </xf>
    <xf numFmtId="0" fontId="61" fillId="0" borderId="15" xfId="101" applyFont="1" applyFill="1" applyBorder="1" applyAlignment="1">
      <alignment wrapText="1"/>
      <protection/>
    </xf>
    <xf numFmtId="0" fontId="61" fillId="0" borderId="15" xfId="101" applyFont="1" applyFill="1" applyBorder="1" applyAlignment="1">
      <alignment horizontal="center"/>
      <protection/>
    </xf>
    <xf numFmtId="0" fontId="21" fillId="0" borderId="15" xfId="101" applyFont="1" applyFill="1" applyBorder="1" applyAlignment="1">
      <alignment horizontal="center"/>
      <protection/>
    </xf>
    <xf numFmtId="0" fontId="21" fillId="0" borderId="15" xfId="101" applyFont="1" applyFill="1" applyBorder="1" applyAlignment="1">
      <alignment wrapText="1"/>
      <protection/>
    </xf>
    <xf numFmtId="0" fontId="21" fillId="0" borderId="15" xfId="101" applyFont="1" applyFill="1" applyBorder="1" applyAlignment="1">
      <alignment horizontal="center" vertical="center"/>
      <protection/>
    </xf>
    <xf numFmtId="0" fontId="81" fillId="0" borderId="15" xfId="101" applyFont="1" applyFill="1" applyBorder="1" applyAlignment="1">
      <alignment wrapText="1"/>
      <protection/>
    </xf>
    <xf numFmtId="0" fontId="81" fillId="0" borderId="15" xfId="101" applyFont="1" applyFill="1" applyBorder="1" applyAlignment="1">
      <alignment horizontal="center" vertical="center"/>
      <protection/>
    </xf>
    <xf numFmtId="2" fontId="21" fillId="0" borderId="15" xfId="101" applyNumberFormat="1" applyFont="1" applyFill="1" applyBorder="1" applyAlignment="1">
      <alignment horizontal="center" vertical="center" wrapText="1"/>
      <protection/>
    </xf>
    <xf numFmtId="0" fontId="0" fillId="0" borderId="15" xfId="101" applyFont="1" applyFill="1" applyBorder="1">
      <alignment/>
      <protection/>
    </xf>
    <xf numFmtId="0" fontId="81" fillId="0" borderId="15" xfId="101" applyFont="1" applyFill="1" applyBorder="1" applyAlignment="1">
      <alignment horizontal="center"/>
      <protection/>
    </xf>
    <xf numFmtId="4" fontId="20" fillId="0" borderId="15" xfId="101" applyNumberFormat="1" applyFont="1" applyFill="1" applyBorder="1" applyAlignment="1">
      <alignment horizontal="center" vertical="center" wrapText="1"/>
      <protection/>
    </xf>
    <xf numFmtId="3" fontId="20" fillId="0" borderId="9" xfId="50" applyNumberFormat="1" applyFont="1" applyFill="1" applyBorder="1" applyAlignment="1">
      <alignment horizontal="center" vertical="center" wrapText="1"/>
    </xf>
    <xf numFmtId="3" fontId="21" fillId="0" borderId="9" xfId="101" applyNumberFormat="1" applyFont="1" applyFill="1" applyBorder="1">
      <alignment/>
      <protection/>
    </xf>
    <xf numFmtId="0" fontId="21" fillId="0" borderId="9" xfId="101" applyFont="1" applyFill="1" applyBorder="1">
      <alignment/>
      <protection/>
    </xf>
    <xf numFmtId="0" fontId="21" fillId="0" borderId="9" xfId="101" applyFont="1" applyFill="1" applyBorder="1" applyAlignment="1">
      <alignment vertical="center"/>
      <protection/>
    </xf>
    <xf numFmtId="0" fontId="21" fillId="0" borderId="9" xfId="101" applyFont="1" applyFill="1" applyBorder="1" applyAlignment="1">
      <alignment horizontal="left" vertical="center"/>
      <protection/>
    </xf>
    <xf numFmtId="0" fontId="21" fillId="0" borderId="9" xfId="101" applyFont="1" applyFill="1" applyBorder="1" applyAlignment="1">
      <alignment horizontal="right" vertical="center"/>
      <protection/>
    </xf>
    <xf numFmtId="0" fontId="16" fillId="0" borderId="9" xfId="101" applyFont="1" applyFill="1" applyBorder="1" applyAlignment="1">
      <alignment horizontal="right" vertical="center"/>
      <protection/>
    </xf>
    <xf numFmtId="200" fontId="20" fillId="0" borderId="9" xfId="50" applyNumberFormat="1" applyFont="1" applyFill="1" applyBorder="1" applyAlignment="1">
      <alignment horizontal="center" vertical="center"/>
    </xf>
    <xf numFmtId="200" fontId="16" fillId="0" borderId="9" xfId="50" applyNumberFormat="1" applyFont="1" applyFill="1" applyBorder="1" applyAlignment="1">
      <alignment horizontal="center" vertical="center"/>
    </xf>
    <xf numFmtId="200" fontId="20" fillId="0" borderId="9" xfId="101" applyNumberFormat="1" applyFont="1" applyFill="1" applyBorder="1" applyAlignment="1">
      <alignment horizontal="right" vertical="center"/>
      <protection/>
    </xf>
    <xf numFmtId="178" fontId="21" fillId="0" borderId="9" xfId="52" applyNumberFormat="1" applyFont="1" applyFill="1" applyBorder="1" applyAlignment="1">
      <alignment horizontal="right" vertical="center" wrapText="1"/>
    </xf>
    <xf numFmtId="0" fontId="21" fillId="0" borderId="9" xfId="101" applyFont="1" applyFill="1" applyBorder="1" applyAlignment="1">
      <alignment horizontal="right" vertical="center" wrapText="1"/>
      <protection/>
    </xf>
    <xf numFmtId="4" fontId="72" fillId="0" borderId="9" xfId="52" applyNumberFormat="1" applyFont="1" applyFill="1" applyBorder="1" applyAlignment="1">
      <alignment horizontal="center" vertical="center"/>
    </xf>
    <xf numFmtId="199" fontId="16" fillId="0" borderId="9" xfId="50" applyNumberFormat="1" applyFont="1" applyFill="1" applyBorder="1" applyAlignment="1">
      <alignment horizontal="center" vertical="center" wrapText="1"/>
    </xf>
    <xf numFmtId="43" fontId="61" fillId="0" borderId="9" xfId="102" applyNumberFormat="1" applyFont="1" applyFill="1" applyBorder="1" applyAlignment="1">
      <alignment vertical="center"/>
      <protection/>
    </xf>
    <xf numFmtId="199" fontId="16" fillId="0" borderId="9" xfId="50" applyNumberFormat="1" applyFont="1" applyFill="1" applyBorder="1" applyAlignment="1">
      <alignment horizontal="right" vertical="center"/>
    </xf>
    <xf numFmtId="176" fontId="16" fillId="0" borderId="9" xfId="50" applyNumberFormat="1" applyFont="1" applyFill="1" applyBorder="1" applyAlignment="1">
      <alignment horizontal="right" vertical="center"/>
    </xf>
    <xf numFmtId="199" fontId="16" fillId="0" borderId="9" xfId="50" applyNumberFormat="1" applyFont="1" applyFill="1" applyBorder="1" applyAlignment="1">
      <alignment horizontal="center" vertical="center" wrapText="1"/>
    </xf>
    <xf numFmtId="43" fontId="16" fillId="0" borderId="9" xfId="50" applyNumberFormat="1" applyFont="1" applyFill="1" applyBorder="1" applyAlignment="1">
      <alignment horizontal="center" vertical="center" wrapText="1"/>
    </xf>
    <xf numFmtId="178" fontId="16" fillId="0" borderId="9" xfId="50" applyNumberFormat="1" applyFont="1" applyFill="1" applyBorder="1" applyAlignment="1">
      <alignment horizontal="right" vertical="center" wrapText="1"/>
    </xf>
    <xf numFmtId="0" fontId="80" fillId="0" borderId="9" xfId="101" applyFont="1" applyFill="1" applyBorder="1" applyAlignment="1">
      <alignment horizontal="right" vertical="center" wrapText="1"/>
      <protection/>
    </xf>
    <xf numFmtId="0" fontId="80" fillId="0" borderId="9" xfId="101" applyFont="1" applyFill="1" applyBorder="1" applyAlignment="1">
      <alignment vertical="center" wrapText="1"/>
      <protection/>
    </xf>
    <xf numFmtId="178" fontId="20" fillId="0" borderId="9" xfId="54" applyNumberFormat="1" applyFont="1" applyFill="1" applyBorder="1" applyAlignment="1">
      <alignment horizontal="right" vertical="center" wrapText="1"/>
    </xf>
    <xf numFmtId="178" fontId="80" fillId="0" borderId="9" xfId="54" applyNumberFormat="1" applyFont="1" applyFill="1" applyBorder="1" applyAlignment="1">
      <alignment vertical="center" wrapText="1"/>
    </xf>
    <xf numFmtId="0" fontId="80" fillId="0" borderId="9" xfId="101" applyFont="1" applyFill="1" applyBorder="1" applyAlignment="1">
      <alignment horizontal="center" vertical="center" wrapText="1"/>
      <protection/>
    </xf>
    <xf numFmtId="178" fontId="80" fillId="0" borderId="9" xfId="54" applyNumberFormat="1" applyFont="1" applyFill="1" applyBorder="1" applyAlignment="1">
      <alignment horizontal="right" vertical="center" wrapText="1"/>
    </xf>
    <xf numFmtId="0" fontId="21" fillId="0" borderId="9" xfId="101" applyFont="1" applyFill="1" applyBorder="1" applyAlignment="1" quotePrefix="1">
      <alignment vertical="center" wrapText="1"/>
      <protection/>
    </xf>
    <xf numFmtId="3" fontId="61" fillId="0" borderId="9" xfId="101" applyNumberFormat="1" applyFont="1" applyFill="1" applyBorder="1" applyAlignment="1">
      <alignment horizontal="center" vertical="center" wrapText="1"/>
      <protection/>
    </xf>
    <xf numFmtId="3" fontId="61" fillId="0" borderId="9" xfId="55" applyNumberFormat="1" applyFont="1" applyFill="1" applyBorder="1" applyAlignment="1">
      <alignment horizontal="right" vertical="center"/>
    </xf>
    <xf numFmtId="3" fontId="16" fillId="0" borderId="9" xfId="55" applyNumberFormat="1" applyFont="1" applyFill="1" applyBorder="1" applyAlignment="1">
      <alignment horizontal="right" vertical="center" wrapText="1"/>
    </xf>
    <xf numFmtId="0" fontId="72" fillId="0" borderId="9" xfId="97" applyFont="1" applyFill="1" applyBorder="1" applyAlignment="1">
      <alignment vertical="center" wrapText="1"/>
      <protection/>
    </xf>
    <xf numFmtId="0" fontId="72" fillId="0" borderId="9" xfId="97" applyFont="1" applyFill="1" applyBorder="1" applyAlignment="1">
      <alignment horizontal="left" vertical="center" wrapText="1"/>
      <protection/>
    </xf>
    <xf numFmtId="0" fontId="20" fillId="0" borderId="9" xfId="97" applyFont="1" applyFill="1" applyBorder="1" applyAlignment="1">
      <alignment horizontal="center" vertical="center" wrapText="1"/>
      <protection/>
    </xf>
    <xf numFmtId="10" fontId="60" fillId="0" borderId="9" xfId="109" applyNumberFormat="1" applyFont="1" applyFill="1" applyBorder="1" applyAlignment="1">
      <alignment horizontal="right" vertical="center"/>
    </xf>
    <xf numFmtId="175" fontId="72" fillId="0" borderId="9" xfId="55" applyNumberFormat="1" applyFont="1" applyFill="1" applyBorder="1" applyAlignment="1">
      <alignment horizontal="right" vertical="center" wrapText="1"/>
    </xf>
    <xf numFmtId="10" fontId="20" fillId="0" borderId="9" xfId="109" applyNumberFormat="1" applyFont="1" applyFill="1" applyBorder="1" applyAlignment="1">
      <alignment horizontal="center" vertical="center" wrapText="1"/>
    </xf>
    <xf numFmtId="0" fontId="20" fillId="0" borderId="9" xfId="97" applyFont="1" applyFill="1" applyBorder="1" applyAlignment="1">
      <alignment vertical="center" wrapText="1"/>
      <protection/>
    </xf>
    <xf numFmtId="175" fontId="21" fillId="0" borderId="9" xfId="55" applyNumberFormat="1" applyFont="1" applyFill="1" applyBorder="1" applyAlignment="1">
      <alignment horizontal="right" vertical="center" wrapText="1"/>
    </xf>
    <xf numFmtId="175" fontId="20" fillId="0" borderId="9" xfId="55" applyNumberFormat="1" applyFont="1" applyFill="1" applyBorder="1" applyAlignment="1">
      <alignment horizontal="right" vertical="center" wrapText="1"/>
    </xf>
    <xf numFmtId="0" fontId="72" fillId="0" borderId="9" xfId="97" applyFont="1" applyFill="1" applyBorder="1" applyAlignment="1">
      <alignment horizontal="center" vertical="center" wrapText="1"/>
      <protection/>
    </xf>
    <xf numFmtId="10" fontId="72" fillId="0" borderId="9" xfId="109" applyNumberFormat="1" applyFont="1" applyFill="1" applyBorder="1" applyAlignment="1">
      <alignment horizontal="right" vertical="center" wrapText="1"/>
    </xf>
    <xf numFmtId="175" fontId="20" fillId="0" borderId="9" xfId="55" applyNumberFormat="1" applyFont="1" applyFill="1" applyBorder="1" applyAlignment="1">
      <alignment horizontal="center" vertical="center" wrapText="1"/>
    </xf>
    <xf numFmtId="175" fontId="60" fillId="0" borderId="9" xfId="55" applyNumberFormat="1" applyFont="1" applyFill="1" applyBorder="1" applyAlignment="1">
      <alignment horizontal="right" vertical="center" wrapText="1"/>
    </xf>
    <xf numFmtId="3" fontId="72" fillId="0" borderId="9" xfId="55" applyNumberFormat="1" applyFont="1" applyFill="1" applyBorder="1" applyAlignment="1">
      <alignment horizontal="center" vertical="center" wrapText="1"/>
    </xf>
    <xf numFmtId="3" fontId="72" fillId="0" borderId="9" xfId="55" applyNumberFormat="1" applyFont="1" applyFill="1" applyBorder="1" applyAlignment="1">
      <alignment horizontal="left" vertical="center" wrapText="1"/>
    </xf>
    <xf numFmtId="175" fontId="72" fillId="0" borderId="9" xfId="55" applyNumberFormat="1" applyFont="1" applyFill="1" applyBorder="1" applyAlignment="1">
      <alignment horizontal="center" vertical="center" wrapText="1"/>
    </xf>
    <xf numFmtId="10" fontId="60" fillId="0" borderId="9" xfId="109" applyNumberFormat="1" applyFont="1" applyFill="1" applyBorder="1" applyAlignment="1">
      <alignment horizontal="right" vertical="center" wrapText="1"/>
    </xf>
    <xf numFmtId="175" fontId="72" fillId="0" borderId="9" xfId="55" applyNumberFormat="1" applyFont="1" applyFill="1" applyBorder="1" applyAlignment="1">
      <alignment horizontal="left" vertical="center" wrapText="1"/>
    </xf>
    <xf numFmtId="175" fontId="72" fillId="0" borderId="9" xfId="55" applyNumberFormat="1" applyFont="1" applyFill="1" applyBorder="1" applyAlignment="1">
      <alignment vertical="center" wrapText="1"/>
    </xf>
    <xf numFmtId="0" fontId="16" fillId="0" borderId="9" xfId="97" applyFont="1" applyFill="1" applyBorder="1" applyAlignment="1">
      <alignment horizontal="left" vertical="center" wrapText="1"/>
      <protection/>
    </xf>
    <xf numFmtId="3" fontId="16" fillId="0" borderId="9" xfId="55" applyNumberFormat="1" applyFont="1" applyFill="1" applyBorder="1" applyAlignment="1">
      <alignment vertical="center" wrapText="1"/>
    </xf>
    <xf numFmtId="0" fontId="72" fillId="0" borderId="9" xfId="97" applyFont="1" applyFill="1" applyBorder="1" applyAlignment="1" quotePrefix="1">
      <alignment horizontal="left" vertical="center" wrapText="1"/>
      <protection/>
    </xf>
    <xf numFmtId="0" fontId="20" fillId="0" borderId="9" xfId="97" applyFont="1" applyFill="1" applyBorder="1" applyAlignment="1" quotePrefix="1">
      <alignment vertical="center" wrapText="1"/>
      <protection/>
    </xf>
    <xf numFmtId="10" fontId="72" fillId="0" borderId="9" xfId="109" applyNumberFormat="1" applyFont="1" applyFill="1" applyBorder="1" applyAlignment="1">
      <alignment vertical="center" wrapText="1"/>
    </xf>
    <xf numFmtId="0" fontId="21" fillId="0" borderId="9" xfId="96" applyFont="1" applyFill="1" applyBorder="1" applyAlignment="1">
      <alignment horizontal="center" vertical="center"/>
      <protection/>
    </xf>
    <xf numFmtId="0" fontId="21" fillId="0" borderId="9" xfId="96" applyFont="1" applyFill="1" applyBorder="1" applyAlignment="1">
      <alignment horizontal="left" vertical="center" wrapText="1"/>
      <protection/>
    </xf>
    <xf numFmtId="0" fontId="21" fillId="0" borderId="9" xfId="96" applyFont="1" applyFill="1" applyBorder="1" applyAlignment="1">
      <alignment horizontal="center" vertical="center" wrapText="1"/>
      <protection/>
    </xf>
    <xf numFmtId="177" fontId="21" fillId="0" borderId="9" xfId="96" applyNumberFormat="1" applyFont="1" applyFill="1" applyBorder="1" applyAlignment="1">
      <alignment horizontal="right" vertical="center" wrapText="1"/>
      <protection/>
    </xf>
    <xf numFmtId="204" fontId="21" fillId="0" borderId="9" xfId="97" applyNumberFormat="1" applyFont="1" applyFill="1" applyBorder="1" applyAlignment="1">
      <alignment horizontal="right" vertical="center" wrapText="1"/>
      <protection/>
    </xf>
    <xf numFmtId="204" fontId="9" fillId="0" borderId="9" xfId="97" applyNumberFormat="1" applyFont="1" applyFill="1" applyBorder="1" applyAlignment="1">
      <alignment vertical="center" wrapText="1"/>
      <protection/>
    </xf>
    <xf numFmtId="3" fontId="82" fillId="0" borderId="9" xfId="55" applyNumberFormat="1" applyFont="1" applyFill="1" applyBorder="1" applyAlignment="1">
      <alignment horizontal="right" vertical="center"/>
    </xf>
    <xf numFmtId="3" fontId="82" fillId="0" borderId="9" xfId="55" applyNumberFormat="1" applyFont="1" applyFill="1" applyBorder="1" applyAlignment="1">
      <alignment vertical="center" wrapText="1"/>
    </xf>
    <xf numFmtId="175" fontId="81" fillId="0" borderId="9" xfId="55" applyNumberFormat="1" applyFont="1" applyFill="1" applyBorder="1" applyAlignment="1">
      <alignment horizontal="right" vertical="center" wrapText="1"/>
    </xf>
    <xf numFmtId="4" fontId="81" fillId="0" borderId="9" xfId="97" applyNumberFormat="1" applyFont="1" applyFill="1" applyBorder="1" applyAlignment="1">
      <alignment horizontal="right" vertical="center" wrapText="1"/>
      <protection/>
    </xf>
    <xf numFmtId="204" fontId="81" fillId="0" borderId="9" xfId="97" applyNumberFormat="1" applyFont="1" applyFill="1" applyBorder="1" applyAlignment="1">
      <alignment horizontal="right" vertical="center" wrapText="1"/>
      <protection/>
    </xf>
    <xf numFmtId="213" fontId="81" fillId="0" borderId="9" xfId="97" applyNumberFormat="1" applyFont="1" applyFill="1" applyBorder="1" applyAlignment="1">
      <alignment horizontal="right" vertical="center" wrapText="1"/>
      <protection/>
    </xf>
    <xf numFmtId="0" fontId="20" fillId="0" borderId="0" xfId="102" applyFont="1" applyFill="1" applyAlignment="1">
      <alignment horizontal="center" vertical="center" wrapText="1"/>
      <protection/>
    </xf>
    <xf numFmtId="0" fontId="20" fillId="38" borderId="0" xfId="101" applyFont="1" applyFill="1" applyAlignment="1">
      <alignment vertical="center"/>
      <protection/>
    </xf>
    <xf numFmtId="0" fontId="21" fillId="38" borderId="0" xfId="101" applyFont="1" applyFill="1" applyAlignment="1">
      <alignment vertical="center"/>
      <protection/>
    </xf>
    <xf numFmtId="199" fontId="37" fillId="0" borderId="9" xfId="50" applyNumberFormat="1" applyFont="1" applyFill="1" applyBorder="1" applyAlignment="1">
      <alignment vertical="center"/>
    </xf>
    <xf numFmtId="199" fontId="72" fillId="0" borderId="9" xfId="50" applyNumberFormat="1" applyFont="1" applyFill="1" applyBorder="1" applyAlignment="1">
      <alignment horizontal="right" vertical="center"/>
    </xf>
    <xf numFmtId="0" fontId="16" fillId="0" borderId="9" xfId="102" applyFont="1" applyFill="1" applyBorder="1" applyAlignment="1">
      <alignment horizontal="center" vertical="center" wrapText="1"/>
      <protection/>
    </xf>
    <xf numFmtId="0" fontId="21" fillId="0" borderId="0" xfId="102" applyFont="1" applyFill="1" applyAlignment="1">
      <alignment horizontal="center" vertical="center" wrapText="1"/>
      <protection/>
    </xf>
    <xf numFmtId="3" fontId="101" fillId="0" borderId="0" xfId="0" applyNumberFormat="1" applyFont="1" applyAlignment="1">
      <alignment/>
    </xf>
    <xf numFmtId="4" fontId="101" fillId="0" borderId="0" xfId="0" applyNumberFormat="1" applyFont="1" applyAlignment="1">
      <alignment/>
    </xf>
    <xf numFmtId="3" fontId="102" fillId="0" borderId="0" xfId="0" applyNumberFormat="1" applyFont="1" applyAlignment="1">
      <alignment/>
    </xf>
    <xf numFmtId="3" fontId="20" fillId="0" borderId="0" xfId="101" applyNumberFormat="1" applyFont="1" applyFill="1" applyAlignment="1">
      <alignment horizontal="center" vertical="center" wrapText="1"/>
      <protection/>
    </xf>
    <xf numFmtId="174" fontId="103" fillId="0" borderId="9" xfId="52" applyNumberFormat="1" applyFont="1" applyFill="1" applyBorder="1" applyAlignment="1">
      <alignment horizontal="center" vertical="center" wrapText="1"/>
    </xf>
    <xf numFmtId="178" fontId="103" fillId="0" borderId="9" xfId="52" applyNumberFormat="1" applyFont="1" applyFill="1" applyBorder="1" applyAlignment="1">
      <alignment horizontal="center" vertical="center" wrapText="1"/>
    </xf>
    <xf numFmtId="43" fontId="104" fillId="0" borderId="9" xfId="52" applyNumberFormat="1" applyFont="1" applyFill="1" applyBorder="1" applyAlignment="1">
      <alignment horizontal="center" vertical="center" wrapText="1"/>
    </xf>
    <xf numFmtId="4" fontId="104" fillId="0" borderId="9" xfId="0" applyNumberFormat="1" applyFont="1" applyFill="1" applyBorder="1" applyAlignment="1">
      <alignment horizontal="right" vertical="center"/>
    </xf>
    <xf numFmtId="43" fontId="79" fillId="0" borderId="9" xfId="52" applyNumberFormat="1" applyFont="1" applyFill="1" applyBorder="1" applyAlignment="1">
      <alignment horizontal="center" vertical="center" wrapText="1"/>
    </xf>
    <xf numFmtId="3" fontId="79" fillId="0" borderId="9" xfId="0" applyNumberFormat="1" applyFont="1" applyFill="1" applyBorder="1" applyAlignment="1">
      <alignment vertical="center"/>
    </xf>
    <xf numFmtId="4" fontId="104" fillId="0" borderId="9" xfId="0" applyNumberFormat="1" applyFont="1" applyFill="1" applyBorder="1" applyAlignment="1">
      <alignment vertical="center"/>
    </xf>
    <xf numFmtId="178" fontId="79" fillId="0" borderId="9" xfId="52" applyNumberFormat="1" applyFont="1" applyFill="1" applyBorder="1" applyAlignment="1">
      <alignment horizontal="right" vertical="center" wrapText="1"/>
    </xf>
    <xf numFmtId="43" fontId="79" fillId="0" borderId="9" xfId="52" applyNumberFormat="1" applyFont="1" applyFill="1" applyBorder="1" applyAlignment="1">
      <alignment vertical="center" wrapText="1"/>
    </xf>
    <xf numFmtId="43" fontId="79" fillId="0" borderId="9" xfId="0" applyNumberFormat="1" applyFont="1" applyFill="1" applyBorder="1" applyAlignment="1">
      <alignment horizontal="right" vertical="center"/>
    </xf>
    <xf numFmtId="174" fontId="79" fillId="0" borderId="9" xfId="52" applyNumberFormat="1" applyFont="1" applyFill="1" applyBorder="1" applyAlignment="1">
      <alignment horizontal="center" vertical="center" wrapText="1"/>
    </xf>
    <xf numFmtId="199" fontId="79" fillId="0" borderId="9" xfId="52" applyNumberFormat="1" applyFont="1" applyFill="1" applyBorder="1" applyAlignment="1">
      <alignment horizontal="center" vertical="center" wrapText="1"/>
    </xf>
    <xf numFmtId="201" fontId="79" fillId="0" borderId="9" xfId="52" applyNumberFormat="1" applyFont="1" applyFill="1" applyBorder="1" applyAlignment="1">
      <alignment horizontal="center" vertical="center" wrapText="1"/>
    </xf>
    <xf numFmtId="178" fontId="103" fillId="0" borderId="9" xfId="52" applyNumberFormat="1" applyFont="1" applyFill="1" applyBorder="1" applyAlignment="1">
      <alignment horizontal="center" vertical="center" wrapText="1"/>
    </xf>
    <xf numFmtId="199" fontId="79" fillId="0" borderId="9" xfId="52" applyNumberFormat="1" applyFont="1" applyFill="1" applyBorder="1" applyAlignment="1">
      <alignment horizontal="center" vertical="center" wrapText="1"/>
    </xf>
    <xf numFmtId="3" fontId="79" fillId="0" borderId="9" xfId="94" applyNumberFormat="1" applyFont="1" applyFill="1" applyBorder="1" applyAlignment="1">
      <alignment horizontal="right" vertical="center"/>
      <protection/>
    </xf>
    <xf numFmtId="43" fontId="104" fillId="0" borderId="9" xfId="52" applyNumberFormat="1" applyFont="1" applyFill="1" applyBorder="1" applyAlignment="1">
      <alignment horizontal="right" vertical="center"/>
    </xf>
    <xf numFmtId="0" fontId="104" fillId="0" borderId="9" xfId="0" applyFont="1" applyFill="1" applyBorder="1" applyAlignment="1">
      <alignment horizontal="right" vertical="center"/>
    </xf>
    <xf numFmtId="2" fontId="104" fillId="0" borderId="9" xfId="0" applyNumberFormat="1" applyFont="1" applyFill="1" applyBorder="1" applyAlignment="1">
      <alignment horizontal="right" vertical="center"/>
    </xf>
    <xf numFmtId="3" fontId="79" fillId="0" borderId="9" xfId="52" applyNumberFormat="1" applyFont="1" applyFill="1" applyBorder="1" applyAlignment="1">
      <alignment horizontal="right" vertical="center"/>
    </xf>
    <xf numFmtId="174" fontId="103" fillId="0" borderId="9" xfId="52" applyNumberFormat="1" applyFont="1" applyFill="1" applyBorder="1" applyAlignment="1">
      <alignment horizontal="center" vertical="center" wrapText="1"/>
    </xf>
    <xf numFmtId="4" fontId="79" fillId="0" borderId="9" xfId="52" applyNumberFormat="1" applyFont="1" applyFill="1" applyBorder="1" applyAlignment="1">
      <alignment vertical="center" wrapText="1"/>
    </xf>
    <xf numFmtId="175" fontId="79" fillId="0" borderId="15" xfId="57" applyNumberFormat="1" applyFont="1" applyFill="1" applyBorder="1" applyAlignment="1">
      <alignment horizontal="center"/>
    </xf>
    <xf numFmtId="0" fontId="79" fillId="0" borderId="9" xfId="101" applyFont="1" applyFill="1" applyBorder="1" applyAlignment="1">
      <alignment horizontal="justify" vertical="center" wrapText="1"/>
      <protection/>
    </xf>
    <xf numFmtId="199" fontId="79" fillId="0" borderId="9" xfId="56" applyNumberFormat="1" applyFont="1" applyFill="1" applyBorder="1" applyAlignment="1">
      <alignment horizontal="center" vertical="center"/>
    </xf>
    <xf numFmtId="176" fontId="79" fillId="0" borderId="9" xfId="56" applyNumberFormat="1" applyFont="1" applyFill="1" applyBorder="1" applyAlignment="1">
      <alignment horizontal="right" vertical="center"/>
    </xf>
    <xf numFmtId="199" fontId="79" fillId="0" borderId="9" xfId="56" applyNumberFormat="1" applyFont="1" applyFill="1" applyBorder="1" applyAlignment="1">
      <alignment horizontal="right" vertical="center"/>
    </xf>
    <xf numFmtId="201" fontId="79" fillId="0" borderId="9" xfId="56" applyNumberFormat="1" applyFont="1" applyFill="1" applyBorder="1" applyAlignment="1">
      <alignment horizontal="center" vertical="center"/>
    </xf>
    <xf numFmtId="201" fontId="79" fillId="0" borderId="9" xfId="56" applyNumberFormat="1" applyFont="1" applyFill="1" applyBorder="1" applyAlignment="1">
      <alignment horizontal="right" vertical="center"/>
    </xf>
    <xf numFmtId="203" fontId="79" fillId="0" borderId="9" xfId="56" applyNumberFormat="1" applyFont="1" applyFill="1" applyBorder="1" applyAlignment="1">
      <alignment horizontal="center" vertical="center"/>
    </xf>
    <xf numFmtId="176" fontId="79" fillId="0" borderId="9" xfId="56" applyNumberFormat="1" applyFont="1" applyFill="1" applyBorder="1" applyAlignment="1">
      <alignment vertical="center"/>
    </xf>
    <xf numFmtId="0" fontId="79" fillId="0" borderId="9" xfId="0" applyFont="1" applyFill="1" applyBorder="1" applyAlignment="1" quotePrefix="1">
      <alignment horizontal="right" vertical="center" wrapText="1"/>
    </xf>
    <xf numFmtId="2" fontId="79" fillId="0" borderId="9" xfId="0" applyNumberFormat="1" applyFont="1" applyFill="1" applyBorder="1" applyAlignment="1" quotePrefix="1">
      <alignment horizontal="right" vertical="center" wrapText="1"/>
    </xf>
    <xf numFmtId="178" fontId="16" fillId="0" borderId="9" xfId="0" applyNumberFormat="1" applyFont="1" applyFill="1" applyBorder="1" applyAlignment="1">
      <alignment vertical="center"/>
    </xf>
    <xf numFmtId="0" fontId="79" fillId="0" borderId="9" xfId="0" applyFont="1" applyFill="1" applyBorder="1" applyAlignment="1" quotePrefix="1">
      <alignment horizontal="center" vertical="center" wrapText="1"/>
    </xf>
    <xf numFmtId="0" fontId="21" fillId="0" borderId="0" xfId="94" applyFont="1" applyFill="1" applyAlignment="1">
      <alignment horizontal="center" vertical="center"/>
      <protection/>
    </xf>
    <xf numFmtId="0" fontId="21" fillId="0" borderId="0" xfId="94" applyFont="1" applyFill="1" applyAlignment="1">
      <alignment vertical="center" wrapText="1"/>
      <protection/>
    </xf>
    <xf numFmtId="0" fontId="21" fillId="0" borderId="0" xfId="94" applyFont="1" applyFill="1" applyAlignment="1">
      <alignment horizontal="center" vertical="center" wrapText="1"/>
      <protection/>
    </xf>
    <xf numFmtId="179" fontId="21" fillId="0" borderId="0" xfId="94" applyNumberFormat="1" applyFont="1" applyFill="1" applyAlignment="1">
      <alignment horizontal="center" vertical="center" wrapText="1"/>
      <protection/>
    </xf>
    <xf numFmtId="0" fontId="21" fillId="0" borderId="0" xfId="94" applyFont="1" applyFill="1" applyAlignment="1">
      <alignment vertical="center"/>
      <protection/>
    </xf>
    <xf numFmtId="179" fontId="21" fillId="0" borderId="0" xfId="94" applyNumberFormat="1" applyFont="1" applyFill="1" applyAlignment="1">
      <alignment horizontal="right" vertical="center"/>
      <protection/>
    </xf>
    <xf numFmtId="2" fontId="79" fillId="0" borderId="9" xfId="111" applyNumberFormat="1" applyFont="1" applyFill="1" applyBorder="1" applyAlignment="1">
      <alignment vertical="center"/>
      <protection/>
    </xf>
    <xf numFmtId="178" fontId="79" fillId="0" borderId="9" xfId="52" applyNumberFormat="1" applyFont="1" applyFill="1" applyBorder="1" applyAlignment="1">
      <alignment horizontal="center" vertical="center" wrapText="1"/>
    </xf>
    <xf numFmtId="178" fontId="79" fillId="0" borderId="9" xfId="52" applyNumberFormat="1" applyFont="1" applyFill="1" applyBorder="1" applyAlignment="1">
      <alignment horizontal="right" vertical="center"/>
    </xf>
    <xf numFmtId="178" fontId="79" fillId="0" borderId="9" xfId="52" applyNumberFormat="1" applyFont="1" applyFill="1" applyBorder="1" applyAlignment="1">
      <alignment vertical="center"/>
    </xf>
    <xf numFmtId="2" fontId="79" fillId="0" borderId="9" xfId="0" applyNumberFormat="1" applyFont="1" applyFill="1" applyBorder="1" applyAlignment="1">
      <alignment vertical="center"/>
    </xf>
    <xf numFmtId="2" fontId="79" fillId="0" borderId="9" xfId="0" applyNumberFormat="1" applyFont="1" applyFill="1" applyBorder="1" applyAlignment="1">
      <alignment horizontal="right" vertical="center"/>
    </xf>
    <xf numFmtId="178" fontId="79" fillId="0" borderId="9" xfId="54" applyNumberFormat="1" applyFont="1" applyFill="1" applyBorder="1" applyAlignment="1">
      <alignment horizontal="right" vertical="center" wrapText="1"/>
    </xf>
    <xf numFmtId="3" fontId="79" fillId="0" borderId="9" xfId="94" applyNumberFormat="1" applyFont="1" applyFill="1" applyBorder="1" applyAlignment="1">
      <alignment horizontal="right" vertical="center"/>
      <protection/>
    </xf>
    <xf numFmtId="3" fontId="79" fillId="0" borderId="9" xfId="52" applyNumberFormat="1" applyFont="1" applyFill="1" applyBorder="1" applyAlignment="1">
      <alignment horizontal="right" vertical="center"/>
    </xf>
    <xf numFmtId="3" fontId="79" fillId="0" borderId="9" xfId="111" applyNumberFormat="1" applyFont="1" applyFill="1" applyBorder="1" applyAlignment="1">
      <alignment horizontal="right" vertical="center"/>
      <protection/>
    </xf>
    <xf numFmtId="177" fontId="79" fillId="0" borderId="9" xfId="0" applyNumberFormat="1" applyFont="1" applyFill="1" applyBorder="1" applyAlignment="1">
      <alignment vertical="center"/>
    </xf>
    <xf numFmtId="177" fontId="79" fillId="0" borderId="9" xfId="0" applyNumberFormat="1" applyFont="1" applyFill="1" applyBorder="1" applyAlignment="1">
      <alignment horizontal="right" vertical="center"/>
    </xf>
    <xf numFmtId="0" fontId="79" fillId="0" borderId="9" xfId="0" applyFont="1" applyFill="1" applyBorder="1" applyAlignment="1" quotePrefix="1">
      <alignment horizontal="left" vertical="center" wrapText="1"/>
    </xf>
    <xf numFmtId="174" fontId="79" fillId="0" borderId="9" xfId="52" applyNumberFormat="1" applyFont="1" applyFill="1" applyBorder="1" applyAlignment="1" quotePrefix="1">
      <alignment horizontal="center" vertical="center" wrapText="1"/>
    </xf>
    <xf numFmtId="174" fontId="79" fillId="0" borderId="9" xfId="52" applyNumberFormat="1" applyFont="1" applyFill="1" applyBorder="1" applyAlignment="1" quotePrefix="1">
      <alignment horizontal="right" vertical="center" wrapText="1"/>
    </xf>
    <xf numFmtId="174" fontId="16" fillId="0" borderId="9" xfId="52" applyNumberFormat="1" applyFont="1" applyFill="1" applyBorder="1" applyAlignment="1">
      <alignment horizontal="center" vertical="center" wrapText="1"/>
    </xf>
    <xf numFmtId="175" fontId="16" fillId="0" borderId="9" xfId="52" applyNumberFormat="1" applyFont="1" applyFill="1" applyBorder="1" applyAlignment="1">
      <alignment horizontal="center" vertical="center"/>
    </xf>
    <xf numFmtId="174" fontId="20" fillId="0" borderId="9" xfId="52" applyNumberFormat="1" applyFont="1" applyFill="1" applyBorder="1" applyAlignment="1" quotePrefix="1">
      <alignment horizontal="center" vertical="center" wrapText="1"/>
    </xf>
    <xf numFmtId="0" fontId="103" fillId="0" borderId="9" xfId="101" applyFont="1" applyFill="1" applyBorder="1" applyAlignment="1">
      <alignment horizontal="center" vertical="center"/>
      <protection/>
    </xf>
    <xf numFmtId="0" fontId="103" fillId="0" borderId="9" xfId="101" applyFont="1" applyFill="1" applyBorder="1" applyAlignment="1">
      <alignment horizontal="left" vertical="center" wrapText="1"/>
      <protection/>
    </xf>
    <xf numFmtId="0" fontId="103" fillId="0" borderId="9" xfId="101" applyFont="1" applyFill="1" applyBorder="1" applyAlignment="1">
      <alignment horizontal="center" vertical="center" wrapText="1"/>
      <protection/>
    </xf>
    <xf numFmtId="3" fontId="103" fillId="0" borderId="9" xfId="52" applyNumberFormat="1" applyFont="1" applyFill="1" applyBorder="1" applyAlignment="1">
      <alignment horizontal="center" vertical="center" wrapText="1"/>
    </xf>
    <xf numFmtId="3" fontId="103" fillId="0" borderId="9" xfId="52" applyNumberFormat="1" applyFont="1" applyFill="1" applyBorder="1" applyAlignment="1">
      <alignment horizontal="left" vertical="center"/>
    </xf>
    <xf numFmtId="3" fontId="103" fillId="0" borderId="9" xfId="52" applyNumberFormat="1" applyFont="1" applyFill="1" applyBorder="1" applyAlignment="1">
      <alignment horizontal="center" vertical="center"/>
    </xf>
    <xf numFmtId="0" fontId="103" fillId="0" borderId="9" xfId="101" applyFont="1" applyFill="1" applyBorder="1" applyAlignment="1">
      <alignment vertical="center"/>
      <protection/>
    </xf>
    <xf numFmtId="0" fontId="79" fillId="0" borderId="9" xfId="101" applyFont="1" applyFill="1" applyBorder="1" applyAlignment="1">
      <alignment horizontal="center" vertical="center"/>
      <protection/>
    </xf>
    <xf numFmtId="0" fontId="79" fillId="0" borderId="9" xfId="101" applyFont="1" applyFill="1" applyBorder="1" applyAlignment="1">
      <alignment horizontal="left" vertical="center" wrapText="1"/>
      <protection/>
    </xf>
    <xf numFmtId="0" fontId="79" fillId="0" borderId="9" xfId="101" applyFont="1" applyFill="1" applyBorder="1" applyAlignment="1">
      <alignment horizontal="center" vertical="center" wrapText="1"/>
      <protection/>
    </xf>
    <xf numFmtId="3" fontId="79" fillId="0" borderId="9" xfId="54" applyNumberFormat="1" applyFont="1" applyFill="1" applyBorder="1" applyAlignment="1">
      <alignment horizontal="right" vertical="center" wrapText="1"/>
    </xf>
    <xf numFmtId="3" fontId="79" fillId="0" borderId="9" xfId="54" applyNumberFormat="1" applyFont="1" applyFill="1" applyBorder="1" applyAlignment="1">
      <alignment horizontal="right" vertical="center"/>
    </xf>
    <xf numFmtId="178" fontId="79" fillId="0" borderId="9" xfId="54" applyNumberFormat="1" applyFont="1" applyFill="1" applyBorder="1" applyAlignment="1">
      <alignment horizontal="right" vertical="center"/>
    </xf>
    <xf numFmtId="0" fontId="104" fillId="0" borderId="9" xfId="101" applyFont="1" applyFill="1" applyBorder="1" applyAlignment="1">
      <alignment horizontal="center" vertical="center"/>
      <protection/>
    </xf>
    <xf numFmtId="0" fontId="104" fillId="0" borderId="9" xfId="101" applyFont="1" applyFill="1" applyBorder="1" applyAlignment="1">
      <alignment horizontal="left" vertical="center" wrapText="1"/>
      <protection/>
    </xf>
    <xf numFmtId="0" fontId="104" fillId="0" borderId="9" xfId="101" applyFont="1" applyFill="1" applyBorder="1" applyAlignment="1">
      <alignment horizontal="center" vertical="center" wrapText="1"/>
      <protection/>
    </xf>
    <xf numFmtId="0" fontId="79" fillId="0" borderId="9" xfId="101" applyFont="1" applyFill="1" applyBorder="1" applyAlignment="1" quotePrefix="1">
      <alignment vertical="center" wrapText="1"/>
      <protection/>
    </xf>
    <xf numFmtId="0" fontId="79" fillId="0" borderId="9" xfId="101" applyFont="1" applyFill="1" applyBorder="1" applyAlignment="1" quotePrefix="1">
      <alignment horizontal="center" vertical="center" wrapText="1"/>
      <protection/>
    </xf>
    <xf numFmtId="43" fontId="79" fillId="0" borderId="9" xfId="54" applyNumberFormat="1" applyFont="1" applyFill="1" applyBorder="1" applyAlignment="1">
      <alignment horizontal="center" vertical="center" wrapText="1"/>
    </xf>
    <xf numFmtId="4" fontId="79" fillId="0" borderId="9" xfId="54" applyNumberFormat="1" applyFont="1" applyFill="1" applyBorder="1" applyAlignment="1" quotePrefix="1">
      <alignment horizontal="right" vertical="center"/>
    </xf>
    <xf numFmtId="4" fontId="79" fillId="0" borderId="9" xfId="54" applyNumberFormat="1" applyFont="1" applyFill="1" applyBorder="1" applyAlignment="1">
      <alignment horizontal="right" vertical="center"/>
    </xf>
    <xf numFmtId="2" fontId="79" fillId="0" borderId="9" xfId="111" applyNumberFormat="1" applyFont="1" applyFill="1" applyBorder="1" applyAlignment="1">
      <alignment horizontal="right" vertical="center"/>
      <protection/>
    </xf>
    <xf numFmtId="0" fontId="79" fillId="0" borderId="9" xfId="0" applyFont="1" applyFill="1" applyBorder="1" applyAlignment="1" quotePrefix="1">
      <alignment vertical="center" wrapText="1"/>
    </xf>
    <xf numFmtId="4" fontId="79" fillId="0" borderId="9" xfId="54" applyNumberFormat="1" applyFont="1" applyFill="1" applyBorder="1" applyAlignment="1">
      <alignment vertical="center"/>
    </xf>
    <xf numFmtId="0" fontId="103" fillId="0" borderId="9" xfId="101" applyFont="1" applyFill="1" applyBorder="1" applyAlignment="1">
      <alignment vertical="center" wrapText="1"/>
      <protection/>
    </xf>
    <xf numFmtId="3" fontId="79" fillId="0" borderId="9" xfId="52" applyNumberFormat="1" applyFont="1" applyFill="1" applyBorder="1" applyAlignment="1">
      <alignment vertical="center"/>
    </xf>
    <xf numFmtId="0" fontId="79" fillId="0" borderId="9" xfId="101" applyFont="1" applyFill="1" applyBorder="1" applyAlignment="1">
      <alignment vertical="center" wrapText="1"/>
      <protection/>
    </xf>
    <xf numFmtId="0" fontId="104" fillId="0" borderId="9" xfId="101" applyFont="1" applyFill="1" applyBorder="1" applyAlignment="1">
      <alignment vertical="center" wrapText="1"/>
      <protection/>
    </xf>
    <xf numFmtId="174" fontId="104" fillId="0" borderId="9" xfId="54" applyNumberFormat="1" applyFont="1" applyFill="1" applyBorder="1" applyAlignment="1">
      <alignment horizontal="right" vertical="center" wrapText="1"/>
    </xf>
    <xf numFmtId="175" fontId="104" fillId="0" borderId="9" xfId="54" applyNumberFormat="1" applyFont="1" applyFill="1" applyBorder="1" applyAlignment="1">
      <alignment horizontal="right" vertical="center"/>
    </xf>
    <xf numFmtId="4" fontId="79" fillId="0" borderId="9" xfId="55" applyNumberFormat="1" applyFont="1" applyFill="1" applyBorder="1" applyAlignment="1">
      <alignment horizontal="right" vertical="center"/>
    </xf>
    <xf numFmtId="43" fontId="102" fillId="0" borderId="9" xfId="54" applyFont="1" applyFill="1" applyBorder="1" applyAlignment="1">
      <alignment horizontal="right" vertical="center"/>
    </xf>
    <xf numFmtId="178" fontId="102" fillId="0" borderId="9" xfId="101" applyNumberFormat="1" applyFont="1" applyFill="1" applyBorder="1" applyAlignment="1">
      <alignment horizontal="right" vertical="center"/>
      <protection/>
    </xf>
    <xf numFmtId="175" fontId="79" fillId="0" borderId="9" xfId="54" applyNumberFormat="1" applyFont="1" applyFill="1" applyBorder="1" applyAlignment="1">
      <alignment horizontal="right" vertical="center"/>
    </xf>
    <xf numFmtId="175" fontId="79" fillId="0" borderId="9" xfId="101" applyNumberFormat="1" applyFont="1" applyFill="1" applyBorder="1" applyAlignment="1">
      <alignment horizontal="right" vertical="center"/>
      <protection/>
    </xf>
    <xf numFmtId="43" fontId="79" fillId="0" borderId="9" xfId="54" applyFont="1" applyFill="1" applyBorder="1" applyAlignment="1">
      <alignment horizontal="right" vertical="center"/>
    </xf>
    <xf numFmtId="175" fontId="103" fillId="0" borderId="9" xfId="52" applyNumberFormat="1" applyFont="1" applyFill="1" applyBorder="1" applyAlignment="1">
      <alignment horizontal="center" vertical="center"/>
    </xf>
    <xf numFmtId="174" fontId="79" fillId="0" borderId="9" xfId="52" applyNumberFormat="1" applyFont="1" applyFill="1" applyBorder="1" applyAlignment="1">
      <alignment horizontal="right" vertical="center" wrapText="1"/>
    </xf>
    <xf numFmtId="175" fontId="79" fillId="0" borderId="9" xfId="52" applyNumberFormat="1" applyFont="1" applyFill="1" applyBorder="1" applyAlignment="1">
      <alignment horizontal="right" vertical="center"/>
    </xf>
    <xf numFmtId="0" fontId="79" fillId="0" borderId="9" xfId="101" applyFont="1" applyFill="1" applyBorder="1" applyAlignment="1">
      <alignment horizontal="right" vertical="center"/>
      <protection/>
    </xf>
    <xf numFmtId="174" fontId="79" fillId="0" borderId="9" xfId="54" applyNumberFormat="1" applyFont="1" applyFill="1" applyBorder="1" applyAlignment="1">
      <alignment horizontal="center" vertical="center" wrapText="1"/>
    </xf>
    <xf numFmtId="174" fontId="79" fillId="0" borderId="9" xfId="54" applyNumberFormat="1" applyFont="1" applyFill="1" applyBorder="1" applyAlignment="1">
      <alignment horizontal="right" vertical="center" wrapText="1"/>
    </xf>
    <xf numFmtId="0" fontId="79" fillId="0" borderId="9" xfId="101" applyFont="1" applyFill="1" applyBorder="1" applyAlignment="1" quotePrefix="1">
      <alignment horizontal="justify" vertical="center" wrapText="1"/>
      <protection/>
    </xf>
    <xf numFmtId="4" fontId="79" fillId="0" borderId="9" xfId="54" applyNumberFormat="1" applyFont="1" applyFill="1" applyBorder="1" applyAlignment="1">
      <alignment horizontal="center" vertical="center"/>
    </xf>
    <xf numFmtId="43" fontId="79" fillId="0" borderId="9" xfId="54" applyNumberFormat="1" applyFont="1" applyFill="1" applyBorder="1" applyAlignment="1">
      <alignment horizontal="right" vertical="center" wrapText="1"/>
    </xf>
    <xf numFmtId="0" fontId="79" fillId="0" borderId="9" xfId="0" applyFont="1" applyFill="1" applyBorder="1" applyAlignment="1">
      <alignment horizontal="justify" vertical="center" wrapText="1"/>
    </xf>
    <xf numFmtId="0" fontId="79" fillId="0" borderId="9" xfId="0" applyFont="1" applyFill="1" applyBorder="1" applyAlignment="1">
      <alignment vertical="center" wrapText="1"/>
    </xf>
    <xf numFmtId="4" fontId="100" fillId="0" borderId="9" xfId="97" applyNumberFormat="1" applyFont="1" applyFill="1" applyBorder="1" applyAlignment="1">
      <alignment vertical="center" wrapText="1"/>
      <protection/>
    </xf>
    <xf numFmtId="3" fontId="20" fillId="0" borderId="9" xfId="55" applyNumberFormat="1" applyFont="1" applyFill="1" applyBorder="1" applyAlignment="1">
      <alignment horizontal="center" vertical="center" wrapText="1"/>
    </xf>
    <xf numFmtId="3" fontId="20" fillId="0" borderId="9" xfId="55" applyNumberFormat="1" applyFont="1" applyFill="1" applyBorder="1" applyAlignment="1">
      <alignment horizontal="left" vertical="center" wrapText="1"/>
    </xf>
    <xf numFmtId="175" fontId="20" fillId="0" borderId="9" xfId="55" applyNumberFormat="1" applyFont="1" applyFill="1" applyBorder="1" applyAlignment="1">
      <alignment vertical="center" wrapText="1"/>
    </xf>
    <xf numFmtId="175" fontId="20" fillId="0" borderId="9" xfId="55" applyNumberFormat="1" applyFont="1" applyFill="1" applyBorder="1" applyAlignment="1">
      <alignment horizontal="left" vertical="center" wrapText="1"/>
    </xf>
    <xf numFmtId="204" fontId="100" fillId="0" borderId="9" xfId="97" applyNumberFormat="1" applyFont="1" applyFill="1" applyBorder="1" applyAlignment="1">
      <alignment vertical="center" wrapText="1"/>
      <protection/>
    </xf>
    <xf numFmtId="199" fontId="103" fillId="0" borderId="9" xfId="94" applyNumberFormat="1" applyFont="1" applyFill="1" applyBorder="1" applyAlignment="1" quotePrefix="1">
      <alignment horizontal="right" vertical="center"/>
      <protection/>
    </xf>
    <xf numFmtId="0" fontId="61" fillId="0" borderId="9" xfId="0" applyFont="1" applyFill="1" applyBorder="1" applyAlignment="1">
      <alignment vertical="center" wrapText="1"/>
    </xf>
    <xf numFmtId="199" fontId="61" fillId="0" borderId="9" xfId="0" applyNumberFormat="1" applyFont="1" applyFill="1" applyBorder="1" applyAlignment="1">
      <alignment horizontal="right" vertical="center" wrapText="1"/>
    </xf>
    <xf numFmtId="199" fontId="61" fillId="0" borderId="9" xfId="50" applyNumberFormat="1" applyFont="1" applyFill="1" applyBorder="1" applyAlignment="1">
      <alignment horizontal="right" vertical="center" wrapText="1"/>
    </xf>
    <xf numFmtId="199" fontId="60" fillId="0" borderId="0" xfId="102" applyNumberFormat="1" applyFont="1" applyFill="1" applyAlignment="1">
      <alignment vertical="center"/>
      <protection/>
    </xf>
    <xf numFmtId="43" fontId="79" fillId="0" borderId="9" xfId="0" applyNumberFormat="1" applyFont="1" applyFill="1" applyBorder="1" applyAlignment="1">
      <alignment vertical="center"/>
    </xf>
    <xf numFmtId="43" fontId="79" fillId="0" borderId="9" xfId="111" applyNumberFormat="1" applyFont="1" applyFill="1" applyBorder="1" applyAlignment="1">
      <alignment vertical="center"/>
      <protection/>
    </xf>
    <xf numFmtId="43" fontId="79" fillId="0" borderId="9" xfId="52" applyNumberFormat="1" applyFont="1" applyFill="1" applyBorder="1" applyAlignment="1">
      <alignment horizontal="center" vertical="center"/>
    </xf>
    <xf numFmtId="199" fontId="16" fillId="0" borderId="9" xfId="50" applyNumberFormat="1" applyFont="1" applyFill="1" applyBorder="1" applyAlignment="1">
      <alignment horizontal="center" vertical="center"/>
    </xf>
    <xf numFmtId="43" fontId="105" fillId="0" borderId="9" xfId="50" applyNumberFormat="1" applyFont="1" applyFill="1" applyBorder="1" applyAlignment="1">
      <alignment horizontal="center" vertical="center" wrapText="1"/>
    </xf>
    <xf numFmtId="43" fontId="104" fillId="0" borderId="9" xfId="50" applyNumberFormat="1" applyFont="1" applyFill="1" applyBorder="1" applyAlignment="1">
      <alignment horizontal="center" vertical="center" wrapText="1"/>
    </xf>
    <xf numFmtId="2" fontId="104" fillId="0" borderId="9" xfId="100" applyNumberFormat="1" applyFont="1" applyFill="1" applyBorder="1" applyAlignment="1">
      <alignment horizontal="right" vertical="center"/>
      <protection/>
    </xf>
    <xf numFmtId="174" fontId="104" fillId="0" borderId="9" xfId="52" applyNumberFormat="1" applyFont="1" applyFill="1" applyBorder="1" applyAlignment="1">
      <alignment horizontal="right" vertical="center"/>
    </xf>
    <xf numFmtId="178" fontId="104" fillId="0" borderId="9" xfId="52" applyNumberFormat="1" applyFont="1" applyFill="1" applyBorder="1" applyAlignment="1">
      <alignment horizontal="right" vertical="center"/>
    </xf>
    <xf numFmtId="174" fontId="104" fillId="0" borderId="9" xfId="50" applyNumberFormat="1" applyFont="1" applyFill="1" applyBorder="1" applyAlignment="1">
      <alignment horizontal="center" vertical="center" wrapText="1"/>
    </xf>
    <xf numFmtId="174" fontId="104" fillId="0" borderId="9" xfId="100" applyNumberFormat="1" applyFont="1" applyFill="1" applyBorder="1" applyAlignment="1">
      <alignment horizontal="right" vertical="center"/>
      <protection/>
    </xf>
    <xf numFmtId="174" fontId="79" fillId="0" borderId="9" xfId="50" applyNumberFormat="1" applyFont="1" applyFill="1" applyBorder="1" applyAlignment="1">
      <alignment horizontal="center" vertical="center" wrapText="1"/>
    </xf>
    <xf numFmtId="174" fontId="79" fillId="0" borderId="9" xfId="52" applyNumberFormat="1" applyFont="1" applyFill="1" applyBorder="1" applyAlignment="1">
      <alignment horizontal="right" vertical="center"/>
    </xf>
    <xf numFmtId="174" fontId="103" fillId="0" borderId="9" xfId="50" applyNumberFormat="1" applyFont="1" applyFill="1" applyBorder="1" applyAlignment="1">
      <alignment horizontal="center" vertical="center" wrapText="1"/>
    </xf>
    <xf numFmtId="174" fontId="79" fillId="0" borderId="9" xfId="50" applyNumberFormat="1" applyFont="1" applyFill="1" applyBorder="1" applyAlignment="1">
      <alignment vertical="center"/>
    </xf>
    <xf numFmtId="178" fontId="79" fillId="0" borderId="9" xfId="50" applyNumberFormat="1" applyFont="1" applyFill="1" applyBorder="1" applyAlignment="1">
      <alignment horizontal="center" vertical="center" wrapText="1"/>
    </xf>
    <xf numFmtId="43" fontId="79" fillId="0" borderId="9" xfId="100" applyNumberFormat="1" applyFont="1" applyFill="1" applyBorder="1" applyAlignment="1">
      <alignment vertical="center"/>
      <protection/>
    </xf>
    <xf numFmtId="43" fontId="104" fillId="0" borderId="9" xfId="0" applyNumberFormat="1" applyFont="1" applyFill="1" applyBorder="1" applyAlignment="1">
      <alignment horizontal="right" vertical="center"/>
    </xf>
    <xf numFmtId="0" fontId="20" fillId="38" borderId="0" xfId="97" applyFont="1" applyFill="1" applyAlignment="1">
      <alignment vertical="center" wrapText="1"/>
      <protection/>
    </xf>
    <xf numFmtId="204" fontId="20" fillId="0" borderId="0" xfId="97" applyNumberFormat="1" applyFont="1" applyFill="1" applyAlignment="1">
      <alignment horizontal="center" vertical="center"/>
      <protection/>
    </xf>
    <xf numFmtId="0" fontId="20" fillId="0" borderId="18" xfId="97" applyFont="1" applyFill="1" applyBorder="1" applyAlignment="1">
      <alignment horizontal="center" vertical="center"/>
      <protection/>
    </xf>
    <xf numFmtId="0" fontId="20" fillId="0" borderId="18" xfId="97" applyFont="1" applyFill="1" applyBorder="1" applyAlignment="1">
      <alignment vertical="center" wrapText="1"/>
      <protection/>
    </xf>
    <xf numFmtId="0" fontId="20" fillId="0" borderId="18" xfId="97" applyFont="1" applyFill="1" applyBorder="1" applyAlignment="1">
      <alignment horizontal="center" vertical="center" wrapText="1"/>
      <protection/>
    </xf>
    <xf numFmtId="175" fontId="20" fillId="0" borderId="18" xfId="97" applyNumberFormat="1" applyFont="1" applyFill="1" applyBorder="1" applyAlignment="1">
      <alignment horizontal="center" vertical="center"/>
      <protection/>
    </xf>
    <xf numFmtId="201" fontId="61" fillId="0" borderId="0" xfId="0" applyNumberFormat="1" applyFont="1" applyFill="1" applyAlignment="1">
      <alignment vertical="center"/>
    </xf>
    <xf numFmtId="201" fontId="63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/>
    </xf>
    <xf numFmtId="0" fontId="73" fillId="0" borderId="37" xfId="101" applyFont="1" applyFill="1" applyBorder="1" applyAlignment="1">
      <alignment horizontal="center" vertical="center"/>
      <protection/>
    </xf>
    <xf numFmtId="0" fontId="35" fillId="0" borderId="0" xfId="101" applyFont="1" applyFill="1" applyAlignment="1">
      <alignment horizontal="right" vertical="center"/>
      <protection/>
    </xf>
    <xf numFmtId="0" fontId="16" fillId="0" borderId="0" xfId="101" applyFont="1" applyFill="1" applyBorder="1" applyAlignment="1">
      <alignment horizontal="center" vertical="center" wrapText="1"/>
      <protection/>
    </xf>
    <xf numFmtId="0" fontId="16" fillId="0" borderId="0" xfId="101" applyFont="1" applyFill="1" applyBorder="1" applyAlignment="1">
      <alignment horizontal="center" vertical="center"/>
      <protection/>
    </xf>
    <xf numFmtId="0" fontId="16" fillId="37" borderId="37" xfId="101" applyFont="1" applyFill="1" applyBorder="1" applyAlignment="1">
      <alignment horizontal="center" vertical="center"/>
      <protection/>
    </xf>
    <xf numFmtId="0" fontId="37" fillId="0" borderId="0" xfId="101" applyFont="1" applyFill="1" applyAlignment="1">
      <alignment horizontal="right" vertical="center"/>
      <protection/>
    </xf>
    <xf numFmtId="0" fontId="16" fillId="0" borderId="0" xfId="101" applyFont="1" applyFill="1" applyAlignment="1">
      <alignment horizontal="center" vertical="center"/>
      <protection/>
    </xf>
    <xf numFmtId="0" fontId="37" fillId="0" borderId="0" xfId="101" applyFont="1" applyFill="1" applyAlignment="1">
      <alignment horizontal="right"/>
      <protection/>
    </xf>
    <xf numFmtId="0" fontId="20" fillId="0" borderId="0" xfId="101" applyFont="1" applyFill="1" applyAlignment="1">
      <alignment horizontal="left" vertical="center" wrapText="1"/>
      <protection/>
    </xf>
    <xf numFmtId="49" fontId="16" fillId="0" borderId="9" xfId="101" applyNumberFormat="1" applyFont="1" applyFill="1" applyBorder="1" applyAlignment="1">
      <alignment horizontal="center" vertical="center" wrapText="1"/>
      <protection/>
    </xf>
    <xf numFmtId="0" fontId="16" fillId="0" borderId="9" xfId="101" applyFont="1" applyFill="1" applyBorder="1" applyAlignment="1">
      <alignment horizontal="center" vertical="center" wrapText="1"/>
      <protection/>
    </xf>
    <xf numFmtId="0" fontId="20" fillId="0" borderId="0" xfId="101" applyFont="1" applyFill="1" applyBorder="1" applyAlignment="1">
      <alignment horizontal="left" vertical="center" wrapText="1"/>
      <protection/>
    </xf>
    <xf numFmtId="0" fontId="66" fillId="37" borderId="37" xfId="101" applyFont="1" applyFill="1" applyBorder="1" applyAlignment="1">
      <alignment horizontal="center" vertical="center"/>
      <protection/>
    </xf>
    <xf numFmtId="0" fontId="73" fillId="37" borderId="37" xfId="101" applyFont="1" applyFill="1" applyBorder="1" applyAlignment="1">
      <alignment horizontal="center" vertical="center"/>
      <protection/>
    </xf>
    <xf numFmtId="0" fontId="61" fillId="34" borderId="38" xfId="101" applyFont="1" applyFill="1" applyBorder="1" applyAlignment="1">
      <alignment horizontal="center" vertical="center"/>
      <protection/>
    </xf>
    <xf numFmtId="0" fontId="35" fillId="0" borderId="0" xfId="101" applyFont="1" applyFill="1" applyAlignment="1">
      <alignment horizontal="right"/>
      <protection/>
    </xf>
    <xf numFmtId="0" fontId="66" fillId="0" borderId="37" xfId="101" applyFont="1" applyFill="1" applyBorder="1" applyAlignment="1">
      <alignment horizontal="center" vertical="center"/>
      <protection/>
    </xf>
    <xf numFmtId="0" fontId="16" fillId="0" borderId="0" xfId="101" applyFont="1" applyFill="1" applyAlignment="1">
      <alignment horizontal="center" vertical="center" wrapText="1"/>
      <protection/>
    </xf>
    <xf numFmtId="0" fontId="20" fillId="0" borderId="0" xfId="102" applyFont="1" applyFill="1" applyAlignment="1">
      <alignment horizontal="center" vertical="center" wrapText="1"/>
      <protection/>
    </xf>
    <xf numFmtId="0" fontId="20" fillId="0" borderId="0" xfId="102" applyFont="1" applyFill="1" applyAlignment="1">
      <alignment horizontal="left" vertical="center" wrapText="1"/>
      <protection/>
    </xf>
    <xf numFmtId="0" fontId="66" fillId="0" borderId="37" xfId="102" applyFont="1" applyFill="1" applyBorder="1" applyAlignment="1">
      <alignment horizontal="center" vertical="center"/>
      <protection/>
    </xf>
    <xf numFmtId="0" fontId="16" fillId="0" borderId="0" xfId="102" applyFont="1" applyFill="1" applyAlignment="1">
      <alignment horizontal="center" vertical="center" wrapText="1"/>
      <protection/>
    </xf>
    <xf numFmtId="0" fontId="16" fillId="0" borderId="0" xfId="102" applyFont="1" applyFill="1" applyAlignment="1">
      <alignment horizontal="center" vertical="center"/>
      <protection/>
    </xf>
    <xf numFmtId="0" fontId="35" fillId="0" borderId="0" xfId="102" applyFont="1" applyFill="1" applyAlignment="1">
      <alignment horizontal="right" vertical="center"/>
      <protection/>
    </xf>
    <xf numFmtId="0" fontId="16" fillId="0" borderId="0" xfId="103" applyFont="1" applyFill="1" applyAlignment="1">
      <alignment horizontal="center" vertical="center" wrapText="1"/>
      <protection/>
    </xf>
    <xf numFmtId="0" fontId="16" fillId="0" borderId="0" xfId="103" applyFont="1" applyFill="1" applyAlignment="1">
      <alignment horizontal="center" vertical="center"/>
      <protection/>
    </xf>
    <xf numFmtId="0" fontId="35" fillId="0" borderId="0" xfId="102" applyFont="1" applyFill="1" applyAlignment="1">
      <alignment horizontal="right"/>
      <protection/>
    </xf>
    <xf numFmtId="0" fontId="16" fillId="0" borderId="0" xfId="97" applyFont="1" applyFill="1" applyAlignment="1">
      <alignment horizontal="center" vertical="center" wrapText="1"/>
      <protection/>
    </xf>
    <xf numFmtId="0" fontId="16" fillId="0" borderId="0" xfId="97" applyFont="1" applyFill="1" applyAlignment="1">
      <alignment horizontal="center" vertical="center"/>
      <protection/>
    </xf>
    <xf numFmtId="0" fontId="20" fillId="0" borderId="0" xfId="97" applyFont="1" applyFill="1" applyBorder="1" applyAlignment="1">
      <alignment horizontal="left" vertical="center" wrapText="1"/>
      <protection/>
    </xf>
    <xf numFmtId="0" fontId="35" fillId="0" borderId="0" xfId="97" applyFont="1" applyFill="1" applyAlignment="1">
      <alignment horizontal="right" vertical="center"/>
      <protection/>
    </xf>
    <xf numFmtId="0" fontId="20" fillId="0" borderId="0" xfId="101" applyFont="1" applyFill="1" applyBorder="1" applyAlignment="1">
      <alignment horizontal="left" vertical="center" wrapText="1"/>
      <protection/>
    </xf>
    <xf numFmtId="0" fontId="91" fillId="0" borderId="0" xfId="101" applyFont="1" applyAlignment="1">
      <alignment horizontal="center" vertical="center" wrapText="1"/>
      <protection/>
    </xf>
    <xf numFmtId="0" fontId="92" fillId="0" borderId="0" xfId="101" applyFont="1" applyAlignment="1">
      <alignment horizontal="center" vertical="center" wrapText="1"/>
      <protection/>
    </xf>
    <xf numFmtId="3" fontId="21" fillId="0" borderId="9" xfId="101" applyNumberFormat="1" applyFont="1" applyFill="1" applyBorder="1" applyAlignment="1">
      <alignment horizontal="center" vertical="center" wrapText="1"/>
      <protection/>
    </xf>
    <xf numFmtId="0" fontId="72" fillId="0" borderId="1" xfId="101" applyFont="1" applyFill="1" applyBorder="1" applyAlignment="1">
      <alignment horizontal="right" vertical="center"/>
      <protection/>
    </xf>
    <xf numFmtId="0" fontId="21" fillId="0" borderId="9" xfId="101" applyFont="1" applyFill="1" applyBorder="1" applyAlignment="1">
      <alignment horizontal="center" vertical="center" wrapText="1"/>
      <protection/>
    </xf>
    <xf numFmtId="0" fontId="21" fillId="0" borderId="9" xfId="101" applyFont="1" applyFill="1" applyBorder="1" applyAlignment="1">
      <alignment horizontal="justify" vertical="top" wrapText="1"/>
      <protection/>
    </xf>
    <xf numFmtId="0" fontId="66" fillId="0" borderId="9" xfId="101" applyFont="1" applyBorder="1" applyAlignment="1">
      <alignment horizontal="center" vertical="center" wrapText="1"/>
      <protection/>
    </xf>
    <xf numFmtId="0" fontId="66" fillId="0" borderId="26" xfId="101" applyFont="1" applyBorder="1" applyAlignment="1">
      <alignment horizontal="center" vertical="center" wrapText="1"/>
      <protection/>
    </xf>
    <xf numFmtId="0" fontId="66" fillId="0" borderId="39" xfId="101" applyFont="1" applyBorder="1" applyAlignment="1">
      <alignment horizontal="center" vertical="center" wrapText="1"/>
      <protection/>
    </xf>
    <xf numFmtId="0" fontId="35" fillId="0" borderId="0" xfId="101" applyFont="1" applyAlignment="1">
      <alignment horizontal="right" vertical="center" wrapText="1"/>
      <protection/>
    </xf>
    <xf numFmtId="0" fontId="66" fillId="0" borderId="0" xfId="101" applyFont="1" applyAlignment="1">
      <alignment horizontal="center" vertical="center" wrapText="1"/>
      <protection/>
    </xf>
    <xf numFmtId="0" fontId="21" fillId="0" borderId="26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60" fillId="34" borderId="27" xfId="95" applyNumberFormat="1" applyFont="1" applyFill="1" applyBorder="1" applyAlignment="1">
      <alignment horizontal="left" vertical="center" wrapText="1"/>
      <protection/>
    </xf>
    <xf numFmtId="0" fontId="60" fillId="34" borderId="23" xfId="95" applyNumberFormat="1" applyFont="1" applyFill="1" applyBorder="1" applyAlignment="1">
      <alignment horizontal="left" vertical="center" wrapText="1"/>
      <protection/>
    </xf>
    <xf numFmtId="0" fontId="61" fillId="34" borderId="14" xfId="95" applyFont="1" applyFill="1" applyBorder="1" applyAlignment="1">
      <alignment horizontal="center" vertical="center" wrapText="1"/>
      <protection/>
    </xf>
    <xf numFmtId="0" fontId="61" fillId="34" borderId="41" xfId="95" applyFont="1" applyFill="1" applyBorder="1" applyAlignment="1">
      <alignment horizontal="center" vertical="center" wrapText="1"/>
      <protection/>
    </xf>
    <xf numFmtId="0" fontId="61" fillId="34" borderId="27" xfId="95" applyNumberFormat="1" applyFont="1" applyFill="1" applyBorder="1" applyAlignment="1">
      <alignment horizontal="center" vertical="center" wrapText="1"/>
      <protection/>
    </xf>
    <xf numFmtId="0" fontId="61" fillId="34" borderId="23" xfId="95" applyNumberFormat="1" applyFont="1" applyFill="1" applyBorder="1" applyAlignment="1">
      <alignment horizontal="center" vertical="center" wrapText="1"/>
      <protection/>
    </xf>
    <xf numFmtId="0" fontId="9" fillId="34" borderId="27" xfId="95" applyNumberFormat="1" applyFont="1" applyFill="1" applyBorder="1" applyAlignment="1">
      <alignment horizontal="left" vertical="center" wrapText="1"/>
      <protection/>
    </xf>
    <xf numFmtId="0" fontId="9" fillId="34" borderId="23" xfId="95" applyNumberFormat="1" applyFont="1" applyFill="1" applyBorder="1" applyAlignment="1">
      <alignment horizontal="left" vertical="center" wrapText="1"/>
      <protection/>
    </xf>
    <xf numFmtId="0" fontId="60" fillId="34" borderId="27" xfId="95" applyNumberFormat="1" applyFont="1" applyFill="1" applyBorder="1" applyAlignment="1">
      <alignment horizontal="right" vertical="center" wrapText="1"/>
      <protection/>
    </xf>
    <xf numFmtId="0" fontId="62" fillId="34" borderId="27" xfId="95" applyNumberFormat="1" applyFont="1" applyFill="1" applyBorder="1" applyAlignment="1">
      <alignment horizontal="left" vertical="center" wrapText="1"/>
      <protection/>
    </xf>
    <xf numFmtId="0" fontId="62" fillId="34" borderId="23" xfId="95" applyNumberFormat="1" applyFont="1" applyFill="1" applyBorder="1" applyAlignment="1">
      <alignment horizontal="left" vertical="center" wrapText="1"/>
      <protection/>
    </xf>
    <xf numFmtId="0" fontId="21" fillId="34" borderId="27" xfId="95" applyFont="1" applyFill="1" applyBorder="1" applyAlignment="1">
      <alignment horizontal="right" vertical="center" wrapText="1"/>
      <protection/>
    </xf>
    <xf numFmtId="0" fontId="21" fillId="34" borderId="23" xfId="95" applyFont="1" applyFill="1" applyBorder="1" applyAlignment="1">
      <alignment horizontal="center" vertical="center" wrapText="1"/>
      <protection/>
    </xf>
    <xf numFmtId="0" fontId="21" fillId="34" borderId="27" xfId="95" applyNumberFormat="1" applyFont="1" applyFill="1" applyBorder="1" applyAlignment="1">
      <alignment horizontal="right" vertical="center" wrapText="1"/>
      <protection/>
    </xf>
    <xf numFmtId="0" fontId="21" fillId="34" borderId="23" xfId="95" applyNumberFormat="1" applyFont="1" applyFill="1" applyBorder="1" applyAlignment="1">
      <alignment horizontal="left" vertical="center" wrapText="1"/>
      <protection/>
    </xf>
    <xf numFmtId="0" fontId="35" fillId="34" borderId="0" xfId="95" applyFont="1" applyFill="1" applyAlignment="1">
      <alignment horizontal="right" vertical="center" wrapText="1"/>
      <protection/>
    </xf>
    <xf numFmtId="0" fontId="66" fillId="34" borderId="0" xfId="95" applyFont="1" applyFill="1" applyAlignment="1">
      <alignment horizontal="center" vertical="center" wrapText="1"/>
      <protection/>
    </xf>
    <xf numFmtId="0" fontId="67" fillId="34" borderId="0" xfId="95" applyFont="1" applyFill="1" applyAlignment="1">
      <alignment horizontal="center" vertical="center" wrapText="1"/>
      <protection/>
    </xf>
    <xf numFmtId="0" fontId="60" fillId="34" borderId="0" xfId="95" applyNumberFormat="1" applyFont="1" applyFill="1" applyBorder="1" applyAlignment="1">
      <alignment horizontal="right" vertical="center" wrapText="1"/>
      <protection/>
    </xf>
    <xf numFmtId="0" fontId="61" fillId="34" borderId="0" xfId="103" applyFont="1" applyFill="1" applyAlignment="1">
      <alignment horizontal="center" vertical="center" wrapText="1"/>
      <protection/>
    </xf>
    <xf numFmtId="0" fontId="61" fillId="34" borderId="0" xfId="103" applyFont="1" applyFill="1" applyAlignment="1">
      <alignment horizontal="center" vertical="center"/>
      <protection/>
    </xf>
    <xf numFmtId="43" fontId="60" fillId="34" borderId="0" xfId="59" applyFont="1" applyFill="1" applyBorder="1" applyAlignment="1">
      <alignment horizontal="right" vertical="center"/>
    </xf>
    <xf numFmtId="43" fontId="60" fillId="34" borderId="1" xfId="59" applyFont="1" applyFill="1" applyBorder="1" applyAlignment="1">
      <alignment horizontal="right" vertical="center"/>
    </xf>
    <xf numFmtId="3" fontId="20" fillId="0" borderId="27" xfId="104" applyNumberFormat="1" applyFont="1" applyFill="1" applyBorder="1" applyAlignment="1">
      <alignment horizontal="center" vertical="center"/>
      <protection/>
    </xf>
    <xf numFmtId="3" fontId="20" fillId="0" borderId="29" xfId="104" applyNumberFormat="1" applyFont="1" applyFill="1" applyBorder="1" applyAlignment="1">
      <alignment horizontal="center" vertical="center"/>
      <protection/>
    </xf>
    <xf numFmtId="3" fontId="20" fillId="0" borderId="23" xfId="104" applyNumberFormat="1" applyFont="1" applyFill="1" applyBorder="1" applyAlignment="1">
      <alignment horizontal="center" vertical="center"/>
      <protection/>
    </xf>
    <xf numFmtId="3" fontId="20" fillId="0" borderId="27" xfId="104" applyNumberFormat="1" applyFont="1" applyFill="1" applyBorder="1" applyAlignment="1">
      <alignment horizontal="center" vertical="center" wrapText="1"/>
      <protection/>
    </xf>
    <xf numFmtId="3" fontId="20" fillId="0" borderId="29" xfId="104" applyNumberFormat="1" applyFont="1" applyFill="1" applyBorder="1" applyAlignment="1">
      <alignment horizontal="center" vertical="center" wrapText="1"/>
      <protection/>
    </xf>
    <xf numFmtId="3" fontId="20" fillId="0" borderId="23" xfId="104" applyNumberFormat="1" applyFont="1" applyFill="1" applyBorder="1" applyAlignment="1">
      <alignment horizontal="center" vertical="center" wrapText="1"/>
      <protection/>
    </xf>
    <xf numFmtId="0" fontId="16" fillId="0" borderId="0" xfId="104" applyFont="1" applyFill="1" applyBorder="1" applyAlignment="1">
      <alignment horizontal="right" vertical="center" wrapText="1"/>
      <protection/>
    </xf>
    <xf numFmtId="0" fontId="37" fillId="0" borderId="0" xfId="104" applyFont="1" applyFill="1" applyBorder="1" applyAlignment="1">
      <alignment horizontal="right" vertical="center" wrapText="1"/>
      <protection/>
    </xf>
    <xf numFmtId="0" fontId="16" fillId="0" borderId="0" xfId="104" applyFont="1" applyFill="1" applyBorder="1" applyAlignment="1">
      <alignment horizontal="center" vertical="center" wrapText="1"/>
      <protection/>
    </xf>
    <xf numFmtId="0" fontId="16" fillId="0" borderId="14" xfId="104" applyFont="1" applyFill="1" applyBorder="1" applyAlignment="1">
      <alignment horizontal="center" vertical="center" wrapText="1"/>
      <protection/>
    </xf>
    <xf numFmtId="0" fontId="16" fillId="0" borderId="5" xfId="104" applyFont="1" applyFill="1" applyBorder="1" applyAlignment="1">
      <alignment horizontal="center" vertical="center" wrapText="1"/>
      <protection/>
    </xf>
    <xf numFmtId="0" fontId="16" fillId="0" borderId="41" xfId="10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79" fillId="0" borderId="9" xfId="98" applyFont="1" applyFill="1" applyBorder="1" applyAlignment="1">
      <alignment vertical="center"/>
      <protection/>
    </xf>
  </cellXfs>
  <cellStyles count="128">
    <cellStyle name="Normal" xfId="0"/>
    <cellStyle name="_73118_79029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5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eE­ [0]_INQUIRY ¿μ¾÷AßAø " xfId="41"/>
    <cellStyle name="AeE­_INQUIRY ¿µ¾÷AßAø " xfId="42"/>
    <cellStyle name="AÞ¸¶ [0]_INQUIRY ¿?¾÷AßAø " xfId="43"/>
    <cellStyle name="AÞ¸¶_INQUIRY ¿?¾÷AßAø " xfId="44"/>
    <cellStyle name="Bad" xfId="45"/>
    <cellStyle name="C?AØ_¿?¾÷CoE² " xfId="46"/>
    <cellStyle name="C￥AØ_¿μ¾÷CoE² " xfId="47"/>
    <cellStyle name="Calculation" xfId="48"/>
    <cellStyle name="Check Cell" xfId="49"/>
    <cellStyle name="Comma" xfId="50"/>
    <cellStyle name="Comma [0]" xfId="51"/>
    <cellStyle name="Comma 2" xfId="52"/>
    <cellStyle name="Comma 28 4" xfId="53"/>
    <cellStyle name="Comma 3" xfId="54"/>
    <cellStyle name="Comma 4" xfId="55"/>
    <cellStyle name="Comma 4 2" xfId="56"/>
    <cellStyle name="Comma 5" xfId="57"/>
    <cellStyle name="comma zerodec" xfId="58"/>
    <cellStyle name="Comma_Cocau2004(22-11)" xfId="59"/>
    <cellStyle name="Comma0" xfId="60"/>
    <cellStyle name="Currency" xfId="61"/>
    <cellStyle name="Currency [0]" xfId="62"/>
    <cellStyle name="Currency0" xfId="63"/>
    <cellStyle name="Currency1" xfId="64"/>
    <cellStyle name="Date" xfId="65"/>
    <cellStyle name="Dollar (zero dec)" xfId="66"/>
    <cellStyle name="Explanatory Text" xfId="67"/>
    <cellStyle name="Fixed" xfId="68"/>
    <cellStyle name="Followed Hyperlink" xfId="69"/>
    <cellStyle name="Good" xfId="70"/>
    <cellStyle name="Grey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EADING1" xfId="78"/>
    <cellStyle name="HEADING2" xfId="79"/>
    <cellStyle name="Hyperlink" xfId="80"/>
    <cellStyle name="Input" xfId="81"/>
    <cellStyle name="Input [yellow]" xfId="82"/>
    <cellStyle name="Linked Cell" xfId="83"/>
    <cellStyle name="Loai CBDT" xfId="84"/>
    <cellStyle name="Loai CT" xfId="85"/>
    <cellStyle name="Loai GD" xfId="86"/>
    <cellStyle name="Monétaire [0]_TARIFFS DB" xfId="87"/>
    <cellStyle name="Monétaire_TARIFFS DB" xfId="88"/>
    <cellStyle name="n" xfId="89"/>
    <cellStyle name="Neutral" xfId="90"/>
    <cellStyle name="New Times Roman" xfId="91"/>
    <cellStyle name="no dec" xfId="92"/>
    <cellStyle name="Normal - Style1" xfId="93"/>
    <cellStyle name="Normal 2" xfId="94"/>
    <cellStyle name="Normal 3" xfId="95"/>
    <cellStyle name="Normal 4" xfId="96"/>
    <cellStyle name="Normal 4_73205_79112(1)" xfId="97"/>
    <cellStyle name="Normal 5" xfId="98"/>
    <cellStyle name="Normal 5 2" xfId="99"/>
    <cellStyle name="Normal_73115_79028" xfId="100"/>
    <cellStyle name="Normal_73205_79112(1)" xfId="101"/>
    <cellStyle name="Normal_73383_79292(1)" xfId="102"/>
    <cellStyle name="Normal_Cocau2004(22-11)" xfId="103"/>
    <cellStyle name="Normal_Phu luc 2 (11.10.08)" xfId="104"/>
    <cellStyle name="Note" xfId="105"/>
    <cellStyle name="Output" xfId="106"/>
    <cellStyle name="Percent" xfId="107"/>
    <cellStyle name="Percent [2]" xfId="108"/>
    <cellStyle name="Percent 2" xfId="109"/>
    <cellStyle name="Percent 3" xfId="110"/>
    <cellStyle name="Style 1" xfId="111"/>
    <cellStyle name="T" xfId="112"/>
    <cellStyle name="th" xfId="113"/>
    <cellStyle name="Title" xfId="114"/>
    <cellStyle name="Tong so" xfId="115"/>
    <cellStyle name="tong so 1" xfId="116"/>
    <cellStyle name="Total" xfId="117"/>
    <cellStyle name="viet" xfId="118"/>
    <cellStyle name="viet2" xfId="119"/>
    <cellStyle name="Warning Text" xfId="120"/>
    <cellStyle name="xuan" xfId="121"/>
    <cellStyle name="똿뗦먛귟 [0.00]_PRODUCT DETAIL Q1" xfId="122"/>
    <cellStyle name="똿뗦먛귟_PRODUCT DETAIL Q1" xfId="123"/>
    <cellStyle name="믅됞 [0.00]_PRODUCT DETAIL Q1" xfId="124"/>
    <cellStyle name="믅됞_PRODUCT DETAIL Q1" xfId="125"/>
    <cellStyle name="백분율_95" xfId="126"/>
    <cellStyle name="뷭?_BOOKSHIP" xfId="127"/>
    <cellStyle name="一般_00Q3902REV.1" xfId="128"/>
    <cellStyle name="千分位[0]_00Q3902REV.1" xfId="129"/>
    <cellStyle name="千分位_00Q3902REV.1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貨幣 [0]_00Q3902REV.1" xfId="136"/>
    <cellStyle name="貨幣[0]_BRE" xfId="137"/>
    <cellStyle name="貨幣_00Q3902REV.1" xfId="138"/>
    <cellStyle name=" [0.00]_ Att. 1- Cover" xfId="139"/>
    <cellStyle name="_ Att. 1- Cover" xfId="140"/>
    <cellStyle name="?_ Att. 1- Cover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1-2015\2011-2015\FINAL\My%20Documents\So%20tay%20ke%20hoach\So%20tay%20Kh%202007\3_Co%20cau%20nguon%20von%20theo%20nganh_linh%20vuc%20_chi%20Phu%20Ha_page66_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1-2015\2011-2015\FINAL\5nam2011-2015\2011\Thang8-2011\HopCP(30-8-2011)\cocauDT(28-8-201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nhThinhCQ42\Dropbox\Cong%20viec\KH%20-%20Von\XD%20KH%202016%20-%202020\Hoan%20thien%20ngay%2014-10-2014\Chinh%20ngay%2016\Chinh%20ngay%2016\Bieu%20KH%202011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TDT"/>
      <sheetName val="xl"/>
      <sheetName val="NN"/>
      <sheetName val="Tralaivay"/>
      <sheetName val="TBTN"/>
      <sheetName val="CPTV"/>
      <sheetName val="PCCHAY"/>
      <sheetName val="dtks"/>
      <sheetName val="DGXDCB"/>
      <sheetName val="DEM"/>
      <sheetName val="KHOILUONG"/>
      <sheetName val="DONGIA"/>
      <sheetName val="CPKSTK"/>
      <sheetName val="THIETBI"/>
      <sheetName val="VC1"/>
      <sheetName val="VC2"/>
      <sheetName val="VC3"/>
      <sheetName val="VC4"/>
      <sheetName val="VC5"/>
      <sheetName val="BaoCao"/>
      <sheetName val="TT"/>
      <sheetName val="CO SO DU LIEU PTVL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ung tu"/>
      <sheetName val="So cai"/>
      <sheetName val="Can doi"/>
      <sheetName val="Phat sinh"/>
      <sheetName val="00000005"/>
      <sheetName val="00000006"/>
      <sheetName val="Cau 2(3)"/>
    </sheetNames>
    <definedNames>
      <definedName name="DataFilter"/>
      <definedName name="DataSort"/>
      <definedName name="GoBack" sheetId="1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tay_Co cau von 2007"/>
      <sheetName val="Sheet1"/>
      <sheetName val="Tong hop"/>
      <sheetName val="new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XL4Poppy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00000000"/>
      <sheetName val="T12-01"/>
      <sheetName val="T1-02"/>
      <sheetName val="T5"/>
      <sheetName val="T6"/>
      <sheetName val="T7"/>
      <sheetName val="T8"/>
      <sheetName val="T9"/>
      <sheetName val="T10"/>
      <sheetName val="T11"/>
      <sheetName val="T12"/>
      <sheetName val="CTCN"/>
      <sheetName val="QTHD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2001"/>
      <sheetName val="T.H 01"/>
      <sheetName val="2000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Gia da dam"/>
      <sheetName val="Gia VLXD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CPTK"/>
      <sheetName val="DMTK"/>
      <sheetName val="DGiaCTiet"/>
      <sheetName val="DTCT"/>
      <sheetName val="THKP (2)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THop"/>
      <sheetName val="GTXL "/>
      <sheetName val="ptdg"/>
      <sheetName val="vc-tau"/>
      <sheetName val="O-to"/>
      <sheetName val="gia"/>
      <sheetName val="KL"/>
      <sheetName val="KS"/>
      <sheetName val="DGKS"/>
      <sheetName val="TK"/>
      <sheetName val="TKP-Hang"/>
      <sheetName val="TH-hang"/>
      <sheetName val="luong"/>
      <sheetName val="TH8T"/>
      <sheetName val="VT10"/>
      <sheetName val="VT11"/>
      <sheetName val="VT11 (2)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DT(cong)"/>
      <sheetName val="CTXD"/>
      <sheetName val="20000000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Tach XL"/>
      <sheetName val="KL cau Bac Phu Cat"/>
      <sheetName val="Dam, mo, tru"/>
      <sheetName val="Tuong chan"/>
      <sheetName val="dgchitiet-cau"/>
      <sheetName val="GTXL(03)"/>
      <sheetName val="Gia VL"/>
      <sheetName val="CPXD(03+04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THKP-TT03+04(sauduyet)"/>
      <sheetName val="KM0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Khoan diachat"/>
      <sheetName val="GTXL-Cau"/>
      <sheetName val="DHai(ban-5x20,05m;coc40x40)"/>
      <sheetName val="KVinh(ban-3x21,05m;PA2)"/>
      <sheetName val="KVinh(ban-3x24m;PA1)"/>
      <sheetName val="KPsaudc"/>
      <sheetName val="GiaVL"/>
      <sheetName val="Dam(Sua sau TT)"/>
      <sheetName val="DG mo, tru(Sua sau TT)"/>
      <sheetName val="Coc(Sua sau TT)"/>
      <sheetName val="Duong(Sua sau TT)"/>
      <sheetName val="DPDat(Sau TT)"/>
      <sheetName val="DTCT(dc TT03&amp;04) "/>
      <sheetName val="Denbu"/>
      <sheetName val="40000000"/>
      <sheetName val="50000000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2"/>
      <sheetName val="q3"/>
      <sheetName val="q4"/>
      <sheetName val="Tien ung"/>
      <sheetName val="PHONG"/>
      <sheetName val="phi luong3"/>
      <sheetName val="XL4Test5"/>
      <sheetName val="CAN DOI"/>
      <sheetName val="PTPT"/>
      <sheetName val="TK 141"/>
      <sheetName val="NO CTy"/>
      <sheetName val="Chart1"/>
      <sheetName val="Phantich"/>
      <sheetName val="Toan_DA"/>
      <sheetName val="2004"/>
      <sheetName val="2005"/>
      <sheetName val="CW of Hoabinh  2002"/>
      <sheetName val=" Goods of Hoabinh 2002 "/>
      <sheetName val="BC"/>
      <sheetName val="Chi tiet"/>
      <sheetName val="Vat tu"/>
      <sheetName val="Thiet ke"/>
      <sheetName val="TH KL,VT,KP"/>
      <sheetName val="Den bu"/>
      <sheetName val="#REF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phu luc "/>
      <sheetName val="PT VT "/>
      <sheetName val="c. lech v t"/>
      <sheetName val="Q.Tc.xanh  "/>
      <sheetName val="Tang giam KL "/>
      <sheetName val="CF"/>
      <sheetName val="Trich 154"/>
      <sheetName val="Van Son"/>
      <sheetName val="Nga"/>
      <sheetName val="Bac"/>
      <sheetName val="Dung"/>
      <sheetName val="Minh"/>
      <sheetName val="TSon"/>
      <sheetName val="THi-VAn"/>
      <sheetName val="Ky"/>
      <sheetName val="Tien"/>
      <sheetName val="Van"/>
      <sheetName val="Hoang "/>
      <sheetName val="MTuan"/>
      <sheetName val="VINH"/>
      <sheetName val="CUONG"/>
      <sheetName val="Hoai"/>
      <sheetName val="THANH"/>
      <sheetName val="Sau"/>
      <sheetName val="Linh"/>
      <sheetName val="ngatt"/>
      <sheetName val="Ba-02"/>
      <sheetName val="Bac-2"/>
      <sheetName val="Dong"/>
      <sheetName val="Hung"/>
      <sheetName val="CT3-138"/>
      <sheetName val="CT4-138-01"/>
      <sheetName val="CT138-1-02"/>
      <sheetName val="338"/>
      <sheetName val="CP6-4nhip(L=170,5e)(OK)"/>
      <sheetName val="00000005"/>
      <sheetName val="00000006"/>
      <sheetName val="Q1-02"/>
      <sheetName val="Q2-02"/>
      <sheetName val="Q3-02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VVVVVVVa"/>
      <sheetName val="sent to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7"/>
      <sheetName val="BC ton quy"/>
      <sheetName val="Chi NH"/>
      <sheetName val="TT CAT KCN"/>
      <sheetName val="Chi KHAC"/>
      <sheetName val="THU BaNNHA"/>
      <sheetName val="THU KHAC"/>
      <sheetName val="TH"/>
      <sheetName val="Dot 2 (2)"/>
      <sheetName val="Lai qua han"/>
      <sheetName val="Lai QH 18-3"/>
      <sheetName val="TBao 1"/>
      <sheetName val="TBao 2"/>
      <sheetName val="TH Dot 1 SUA"/>
      <sheetName val="Dot 1 goc"/>
      <sheetName val="Dienthoai 1 Thi"/>
      <sheetName val="Dot 1 chuan"/>
      <sheetName val="TH Dot 2 SUA"/>
      <sheetName val="Nha tho 1"/>
      <sheetName val="Dienthoai 1"/>
      <sheetName val="Nha tho"/>
      <sheetName val="Dienthoai 2"/>
      <sheetName val="Nha tho 1 (2)"/>
      <sheetName val="Mat Bang - HD"/>
      <sheetName val="Lai QH 25-5"/>
      <sheetName val="Dot 2 chuan"/>
      <sheetName val="Dienthoai 2 Thi"/>
      <sheetName val="TH Dot 1 Thi"/>
      <sheetName val="TH Dot 2 Thi"/>
      <sheetName val="TB Noptien D2"/>
      <sheetName val="Dot 2 theo PT"/>
      <sheetName val="ket cau"/>
      <sheetName val="BKBL"/>
      <sheetName val="DG"/>
      <sheetName val="SLX"/>
      <sheetName val="SLN"/>
      <sheetName val="SL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</sheetNames>
    <sheetDataSet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</v>
          </cell>
        </row>
        <row r="117">
          <cell r="I117">
            <v>1.1020520368010418</v>
          </cell>
        </row>
        <row r="126">
          <cell r="I126">
            <v>0.7774754214980679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</v>
          </cell>
        </row>
        <row r="236">
          <cell r="I236">
            <v>3.861700500693786</v>
          </cell>
        </row>
        <row r="270">
          <cell r="I270">
            <v>2.7576199135928907</v>
          </cell>
        </row>
        <row r="275">
          <cell r="I275">
            <v>0.7702240613617725</v>
          </cell>
        </row>
        <row r="294">
          <cell r="I294">
            <v>7.96937650762732</v>
          </cell>
        </row>
        <row r="302">
          <cell r="I302">
            <v>3.2779083645887823</v>
          </cell>
        </row>
        <row r="310">
          <cell r="I310">
            <v>1.251541870943989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3495.644123500466</v>
          </cell>
        </row>
        <row r="192">
          <cell r="H192">
            <v>3696.5592327232416</v>
          </cell>
        </row>
        <row r="211">
          <cell r="H211">
            <v>825.9747553902912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2"/>
      <sheetName val="BieunayKhongin"/>
      <sheetName val="Khongin"/>
      <sheetName val="BM1 "/>
      <sheetName val="BM2"/>
      <sheetName val="BM3"/>
      <sheetName val="BM4"/>
      <sheetName val="BM5"/>
      <sheetName val="BM6"/>
      <sheetName val="BM7"/>
      <sheetName val="BM8"/>
      <sheetName val="BM9"/>
      <sheetName val="BM10"/>
      <sheetName val="BM11"/>
      <sheetName val="BM12"/>
      <sheetName val="BM13"/>
      <sheetName val="BM14"/>
      <sheetName val="BM15"/>
      <sheetName val="BM16"/>
      <sheetName val="PL17CCTT(khongin)"/>
      <sheetName val="Sheet3"/>
      <sheetName val="Pl14"/>
      <sheetName val="Sheet1"/>
      <sheetName val="Sheet2"/>
    </sheetNames>
    <sheetDataSet>
      <sheetData sheetId="12">
        <row r="35">
          <cell r="J35">
            <v>0</v>
          </cell>
        </row>
        <row r="51">
          <cell r="J51">
            <v>793.495482967379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4"/>
  <sheetViews>
    <sheetView tabSelected="1" zoomScale="70" zoomScaleNormal="70" zoomScaleSheetLayoutView="70" zoomScalePageLayoutView="0" workbookViewId="0" topLeftCell="A4">
      <pane xSplit="2" ySplit="1" topLeftCell="C64" activePane="bottomRight" state="frozen"/>
      <selection pane="topLeft" activeCell="A4" sqref="A4"/>
      <selection pane="topRight" activeCell="C4" sqref="C4"/>
      <selection pane="bottomLeft" activeCell="A5" sqref="A5"/>
      <selection pane="bottomRight" activeCell="J78" sqref="J78"/>
    </sheetView>
  </sheetViews>
  <sheetFormatPr defaultColWidth="9.140625" defaultRowHeight="44.25" customHeight="1"/>
  <cols>
    <col min="1" max="1" width="5.7109375" style="369" customWidth="1"/>
    <col min="2" max="2" width="28.140625" style="365" customWidth="1"/>
    <col min="3" max="3" width="11.8515625" style="366" customWidth="1"/>
    <col min="4" max="4" width="15.57421875" style="366" customWidth="1"/>
    <col min="5" max="5" width="15.7109375" style="366" customWidth="1"/>
    <col min="6" max="6" width="15.8515625" style="364" customWidth="1"/>
    <col min="7" max="7" width="15.57421875" style="364" customWidth="1"/>
    <col min="8" max="8" width="15.00390625" style="364" customWidth="1"/>
    <col min="9" max="9" width="16.57421875" style="364" customWidth="1"/>
    <col min="10" max="10" width="15.28125" style="364" customWidth="1"/>
    <col min="11" max="11" width="17.8515625" style="369" customWidth="1"/>
    <col min="12" max="12" width="14.7109375" style="364" customWidth="1"/>
    <col min="13" max="13" width="18.7109375" style="364" customWidth="1"/>
    <col min="14" max="14" width="9.7109375" style="364" bestFit="1" customWidth="1"/>
    <col min="15" max="15" width="10.00390625" style="364" bestFit="1" customWidth="1"/>
    <col min="16" max="16384" width="9.140625" style="364" customWidth="1"/>
  </cols>
  <sheetData>
    <row r="1" spans="1:11" s="893" customFormat="1" ht="33.75" customHeight="1">
      <c r="A1" s="891"/>
      <c r="B1" s="855" t="s">
        <v>317</v>
      </c>
      <c r="C1" s="892"/>
      <c r="D1" s="892"/>
      <c r="E1" s="892"/>
      <c r="I1" s="894" t="s">
        <v>342</v>
      </c>
      <c r="J1" s="1196" t="s">
        <v>331</v>
      </c>
      <c r="K1" s="1196"/>
    </row>
    <row r="2" spans="2:11" ht="24.75" customHeight="1">
      <c r="B2" s="1194" t="s">
        <v>482</v>
      </c>
      <c r="C2" s="1194"/>
      <c r="D2" s="1194"/>
      <c r="E2" s="1194"/>
      <c r="F2" s="1194"/>
      <c r="G2" s="1194"/>
      <c r="H2" s="1194"/>
      <c r="I2" s="1194"/>
      <c r="J2" s="1194"/>
      <c r="K2" s="1194"/>
    </row>
    <row r="3" spans="1:11" ht="39" customHeight="1">
      <c r="A3" s="869"/>
      <c r="B3" s="1195" t="s">
        <v>343</v>
      </c>
      <c r="C3" s="1195"/>
      <c r="D3" s="1195"/>
      <c r="E3" s="1195"/>
      <c r="F3" s="1195"/>
      <c r="G3" s="1195"/>
      <c r="H3" s="1195"/>
      <c r="I3" s="1195"/>
      <c r="J3" s="1195"/>
      <c r="K3" s="1195"/>
    </row>
    <row r="4" spans="1:11" s="368" customFormat="1" ht="60.75" customHeight="1">
      <c r="A4" s="370" t="s">
        <v>0</v>
      </c>
      <c r="B4" s="370" t="s">
        <v>287</v>
      </c>
      <c r="C4" s="370" t="s">
        <v>184</v>
      </c>
      <c r="D4" s="370" t="s">
        <v>332</v>
      </c>
      <c r="E4" s="370" t="s">
        <v>348</v>
      </c>
      <c r="F4" s="370" t="s">
        <v>333</v>
      </c>
      <c r="G4" s="370" t="s">
        <v>334</v>
      </c>
      <c r="H4" s="370" t="s">
        <v>335</v>
      </c>
      <c r="I4" s="370" t="s">
        <v>336</v>
      </c>
      <c r="J4" s="370" t="s">
        <v>337</v>
      </c>
      <c r="K4" s="370" t="s">
        <v>338</v>
      </c>
    </row>
    <row r="5" spans="1:11" s="363" customFormat="1" ht="31.5" customHeight="1">
      <c r="A5" s="374" t="s">
        <v>3</v>
      </c>
      <c r="B5" s="371" t="s">
        <v>288</v>
      </c>
      <c r="C5" s="372"/>
      <c r="D5" s="372"/>
      <c r="E5" s="372"/>
      <c r="F5" s="373"/>
      <c r="G5" s="373"/>
      <c r="H5" s="373"/>
      <c r="I5" s="373"/>
      <c r="J5" s="373"/>
      <c r="K5" s="374"/>
    </row>
    <row r="6" spans="1:11" s="363" customFormat="1" ht="82.5">
      <c r="A6" s="374">
        <v>1</v>
      </c>
      <c r="B6" s="375" t="s">
        <v>339</v>
      </c>
      <c r="C6" s="372"/>
      <c r="D6" s="372"/>
      <c r="E6" s="384"/>
      <c r="F6" s="384"/>
      <c r="G6" s="384"/>
      <c r="H6" s="384"/>
      <c r="I6" s="384"/>
      <c r="J6" s="384"/>
      <c r="K6" s="374"/>
    </row>
    <row r="7" spans="1:11" s="363" customFormat="1" ht="33">
      <c r="A7" s="374"/>
      <c r="B7" s="375" t="s">
        <v>353</v>
      </c>
      <c r="C7" s="383" t="s">
        <v>316</v>
      </c>
      <c r="D7" s="1051"/>
      <c r="E7" s="1052">
        <f aca="true" t="shared" si="0" ref="E7:J7">E9+E11+E13</f>
        <v>8449412</v>
      </c>
      <c r="F7" s="1052">
        <f t="shared" si="0"/>
        <v>9024345.871199999</v>
      </c>
      <c r="G7" s="1052">
        <f t="shared" si="0"/>
        <v>9641958.29881296</v>
      </c>
      <c r="H7" s="1052">
        <f t="shared" si="0"/>
        <v>10295660.45060475</v>
      </c>
      <c r="I7" s="1052">
        <f t="shared" si="0"/>
        <v>11012217.125880767</v>
      </c>
      <c r="J7" s="1052">
        <f t="shared" si="0"/>
        <v>11796439.226897394</v>
      </c>
      <c r="K7" s="401"/>
    </row>
    <row r="8" spans="1:13" s="388" customFormat="1" ht="33" customHeight="1">
      <c r="A8" s="385"/>
      <c r="B8" s="852" t="s">
        <v>352</v>
      </c>
      <c r="C8" s="386" t="s">
        <v>5</v>
      </c>
      <c r="D8" s="1053">
        <v>5.930000000000007</v>
      </c>
      <c r="E8" s="1053">
        <v>6.32</v>
      </c>
      <c r="F8" s="1054">
        <f>ROUND(F7*100/E7,2)-100</f>
        <v>6.799999999999997</v>
      </c>
      <c r="G8" s="1054">
        <f>ROUND(G7*100/F7,2)-100</f>
        <v>6.840000000000003</v>
      </c>
      <c r="H8" s="1054">
        <f>ROUND(H7*100/G7,2)-100</f>
        <v>6.780000000000001</v>
      </c>
      <c r="I8" s="1054">
        <f>ROUND(I7*100/H7,2)-100</f>
        <v>6.959999999999994</v>
      </c>
      <c r="J8" s="1054">
        <f>ROUND(J7*100/I7,2)-100</f>
        <v>7.1200000000000045</v>
      </c>
      <c r="K8" s="949">
        <f>(((F8+100)*(100+G8)*(100+H8)*(100+I8)*(100+J8))^(1/5))-100</f>
        <v>6.899925209825028</v>
      </c>
      <c r="M8" s="947">
        <f>1200000/J7</f>
        <v>0.10172561201890873</v>
      </c>
    </row>
    <row r="9" spans="1:12" s="363" customFormat="1" ht="33">
      <c r="A9" s="374"/>
      <c r="B9" s="379" t="s">
        <v>349</v>
      </c>
      <c r="C9" s="383" t="s">
        <v>316</v>
      </c>
      <c r="D9" s="1055"/>
      <c r="E9" s="1056">
        <v>1899548</v>
      </c>
      <c r="F9" s="1056">
        <f>E9*(1+F10/100)</f>
        <v>1966791.9992000002</v>
      </c>
      <c r="G9" s="1056">
        <f>F9*(1+G10/100)</f>
        <v>2036809.7943715204</v>
      </c>
      <c r="H9" s="1056">
        <f>G9*(1+H10/100)</f>
        <v>2110338.627948332</v>
      </c>
      <c r="I9" s="1056">
        <f>H9*(1+I10/100)</f>
        <v>2189898.3942219843</v>
      </c>
      <c r="J9" s="1056">
        <f>I9*(1+J10/100)</f>
        <v>2274428.4722389528</v>
      </c>
      <c r="K9" s="374"/>
      <c r="L9" s="363" t="s">
        <v>527</v>
      </c>
    </row>
    <row r="10" spans="1:11" s="388" customFormat="1" ht="21" customHeight="1">
      <c r="A10" s="385"/>
      <c r="B10" s="852" t="s">
        <v>352</v>
      </c>
      <c r="C10" s="389" t="s">
        <v>5</v>
      </c>
      <c r="D10" s="1053">
        <v>3.489999999999995</v>
      </c>
      <c r="E10" s="1057">
        <v>3.3900000000000006</v>
      </c>
      <c r="F10" s="1054">
        <v>3.54</v>
      </c>
      <c r="G10" s="1054">
        <v>3.5600000000000023</v>
      </c>
      <c r="H10" s="1054">
        <v>3.61</v>
      </c>
      <c r="I10" s="1054">
        <v>3.769999999999996</v>
      </c>
      <c r="J10" s="1054">
        <v>3.8599999999999994</v>
      </c>
      <c r="K10" s="949">
        <f>(((F10+100)*(100+G10)*(100+H10)*(100+I10)*(100+J10))^(1/5))-100</f>
        <v>3.6679241322684675</v>
      </c>
    </row>
    <row r="11" spans="1:12" s="363" customFormat="1" ht="37.5" customHeight="1">
      <c r="A11" s="374"/>
      <c r="B11" s="379" t="s">
        <v>350</v>
      </c>
      <c r="C11" s="383" t="s">
        <v>316</v>
      </c>
      <c r="D11" s="1055"/>
      <c r="E11" s="1056">
        <v>2137391</v>
      </c>
      <c r="F11" s="1056">
        <f>E11*(1+F12/100)</f>
        <v>2293848.0212</v>
      </c>
      <c r="G11" s="1056">
        <f>F11*(1+G12/100)</f>
        <v>2461298.9267475996</v>
      </c>
      <c r="H11" s="1056">
        <f>G11*(1+H12/100)</f>
        <v>2628421.123873762</v>
      </c>
      <c r="I11" s="1056">
        <f>H11*(1+I12/100)</f>
        <v>2810307.865645826</v>
      </c>
      <c r="J11" s="1056">
        <f>I11*(1+J12/100)</f>
        <v>3010401.7856798093</v>
      </c>
      <c r="K11" s="865"/>
      <c r="L11" s="863"/>
    </row>
    <row r="12" spans="1:11" s="388" customFormat="1" ht="42" customHeight="1">
      <c r="A12" s="385"/>
      <c r="B12" s="852" t="s">
        <v>352</v>
      </c>
      <c r="C12" s="389" t="s">
        <v>5</v>
      </c>
      <c r="D12" s="1053">
        <v>5.859999999999999</v>
      </c>
      <c r="E12" s="1057">
        <v>6.3799999999999955</v>
      </c>
      <c r="F12" s="1054">
        <v>7.32</v>
      </c>
      <c r="G12" s="1054">
        <v>7.3</v>
      </c>
      <c r="H12" s="1054">
        <v>6.790000000000006</v>
      </c>
      <c r="I12" s="1054">
        <v>6.920000000000002</v>
      </c>
      <c r="J12" s="1054">
        <v>7.1200000000000045</v>
      </c>
      <c r="K12" s="949">
        <f>(((F12+100)*(100+G12)*(100+H12)*(100+I12)*(100+J12))^(1/5))-100</f>
        <v>7.089797492300008</v>
      </c>
    </row>
    <row r="13" spans="1:11" s="363" customFormat="1" ht="33">
      <c r="A13" s="374"/>
      <c r="B13" s="379" t="s">
        <v>351</v>
      </c>
      <c r="C13" s="383" t="s">
        <v>316</v>
      </c>
      <c r="D13" s="1055"/>
      <c r="E13" s="1058">
        <v>4412473</v>
      </c>
      <c r="F13" s="1056">
        <f>E13*(1+F14/100)</f>
        <v>4763705.8508</v>
      </c>
      <c r="G13" s="1056">
        <f>F13*(1+G14/100)</f>
        <v>5143849.5776938405</v>
      </c>
      <c r="H13" s="1056">
        <f>G13*(1+H14/100)</f>
        <v>5556900.698782656</v>
      </c>
      <c r="I13" s="1056">
        <f>H13*(1+I14/100)</f>
        <v>6012010.866012956</v>
      </c>
      <c r="J13" s="1056">
        <f>I13*(1+J14/100)</f>
        <v>6511608.968978632</v>
      </c>
      <c r="K13" s="374"/>
    </row>
    <row r="14" spans="1:16" s="388" customFormat="1" ht="25.5" customHeight="1">
      <c r="A14" s="385"/>
      <c r="B14" s="852" t="s">
        <v>352</v>
      </c>
      <c r="C14" s="389" t="s">
        <v>5</v>
      </c>
      <c r="D14" s="1053">
        <v>7.140000000000001</v>
      </c>
      <c r="E14" s="1057">
        <v>7.599999999999994</v>
      </c>
      <c r="F14" s="1054">
        <v>7.96</v>
      </c>
      <c r="G14" s="1054">
        <v>7.98</v>
      </c>
      <c r="H14" s="1054">
        <v>8.03</v>
      </c>
      <c r="I14" s="1054">
        <v>8.189999999999998</v>
      </c>
      <c r="J14" s="1054">
        <v>8.310000000000002</v>
      </c>
      <c r="K14" s="949">
        <f>(((F14+100)*(100+G14)*(100+H14)*(100+I14)*(100+J14))^(1/5))-100</f>
        <v>8.09391592681719</v>
      </c>
      <c r="L14" s="390">
        <v>13.841999999999999</v>
      </c>
      <c r="M14" s="390">
        <v>14.071</v>
      </c>
      <c r="N14" s="390">
        <v>14.2435</v>
      </c>
      <c r="O14" s="390">
        <v>14.575499999999996</v>
      </c>
      <c r="P14" s="390">
        <v>14.849500000000004</v>
      </c>
    </row>
    <row r="15" spans="1:16" s="363" customFormat="1" ht="30" customHeight="1">
      <c r="A15" s="374"/>
      <c r="B15" s="378" t="s">
        <v>214</v>
      </c>
      <c r="C15" s="376"/>
      <c r="D15" s="1051"/>
      <c r="E15" s="1052">
        <f aca="true" t="shared" si="1" ref="E15:J15">E16+E17+E18</f>
        <v>100</v>
      </c>
      <c r="F15" s="1052">
        <f t="shared" si="1"/>
        <v>100</v>
      </c>
      <c r="G15" s="1052">
        <f t="shared" si="1"/>
        <v>100</v>
      </c>
      <c r="H15" s="1052">
        <f t="shared" si="1"/>
        <v>100.00000000000001</v>
      </c>
      <c r="I15" s="1052">
        <f>I16+I17+I18</f>
        <v>100</v>
      </c>
      <c r="J15" s="1052">
        <f t="shared" si="1"/>
        <v>100</v>
      </c>
      <c r="K15" s="374"/>
      <c r="L15" s="363">
        <v>1.55</v>
      </c>
      <c r="M15" s="363">
        <v>1.6</v>
      </c>
      <c r="N15" s="363">
        <v>1.65</v>
      </c>
      <c r="O15" s="363">
        <v>1.72</v>
      </c>
      <c r="P15" s="363">
        <v>1.89</v>
      </c>
    </row>
    <row r="16" spans="1:16" s="363" customFormat="1" ht="33" customHeight="1">
      <c r="A16" s="374"/>
      <c r="B16" s="379" t="s">
        <v>289</v>
      </c>
      <c r="C16" s="376" t="s">
        <v>308</v>
      </c>
      <c r="D16" s="1059"/>
      <c r="E16" s="1060">
        <f aca="true" t="shared" si="2" ref="E16:J16">E9/E7*100</f>
        <v>22.48142237590024</v>
      </c>
      <c r="F16" s="1060">
        <f t="shared" si="2"/>
        <v>21.794288774732753</v>
      </c>
      <c r="G16" s="1060">
        <f t="shared" si="2"/>
        <v>21.12444102379364</v>
      </c>
      <c r="H16" s="1060">
        <f t="shared" si="2"/>
        <v>20.497360398325633</v>
      </c>
      <c r="I16" s="1060">
        <f t="shared" si="2"/>
        <v>19.886080788175835</v>
      </c>
      <c r="J16" s="1060">
        <f t="shared" si="2"/>
        <v>19.280635694311588</v>
      </c>
      <c r="K16" s="949">
        <f>(((F16+100)*(100+G16)*(100+H16)*(100+I16)*(100+J16))^(1/5))-100</f>
        <v>20.5133031374438</v>
      </c>
      <c r="L16" s="802">
        <f>L14+L15</f>
        <v>15.392</v>
      </c>
      <c r="M16" s="802">
        <f>M14+M15</f>
        <v>15.671</v>
      </c>
      <c r="N16" s="802">
        <f>N14+N15</f>
        <v>15.8935</v>
      </c>
      <c r="O16" s="802">
        <f>O14+O15</f>
        <v>16.295499999999997</v>
      </c>
      <c r="P16" s="802">
        <f>P14+P15</f>
        <v>16.739500000000003</v>
      </c>
    </row>
    <row r="17" spans="1:11" s="363" customFormat="1" ht="30" customHeight="1">
      <c r="A17" s="374"/>
      <c r="B17" s="379" t="s">
        <v>290</v>
      </c>
      <c r="C17" s="376" t="s">
        <v>308</v>
      </c>
      <c r="D17" s="1059"/>
      <c r="E17" s="1055">
        <f aca="true" t="shared" si="3" ref="E17:J17">E11/E7*100</f>
        <v>25.29632831255003</v>
      </c>
      <c r="F17" s="1055">
        <f t="shared" si="3"/>
        <v>25.41844089243644</v>
      </c>
      <c r="G17" s="1055">
        <f t="shared" si="3"/>
        <v>25.526960918827196</v>
      </c>
      <c r="H17" s="1055">
        <f t="shared" si="3"/>
        <v>25.529407622600576</v>
      </c>
      <c r="I17" s="1055">
        <f t="shared" si="3"/>
        <v>25.51990969230962</v>
      </c>
      <c r="J17" s="1055">
        <f t="shared" si="3"/>
        <v>25.519580339257857</v>
      </c>
      <c r="K17" s="949">
        <f>(((F17+100)*(100+G17)*(100+H17)*(100+I17)*(100+J17))^(1/5))-100</f>
        <v>25.50285273352827</v>
      </c>
    </row>
    <row r="18" spans="1:11" s="363" customFormat="1" ht="30" customHeight="1">
      <c r="A18" s="374"/>
      <c r="B18" s="379" t="s">
        <v>291</v>
      </c>
      <c r="C18" s="376" t="s">
        <v>308</v>
      </c>
      <c r="D18" s="1059"/>
      <c r="E18" s="1055">
        <f aca="true" t="shared" si="4" ref="E18:J18">E13/E7*100</f>
        <v>52.22224931154973</v>
      </c>
      <c r="F18" s="1055">
        <f t="shared" si="4"/>
        <v>52.787270332830815</v>
      </c>
      <c r="G18" s="1055">
        <f t="shared" si="4"/>
        <v>53.34859805737917</v>
      </c>
      <c r="H18" s="1055">
        <f t="shared" si="4"/>
        <v>53.9732319790738</v>
      </c>
      <c r="I18" s="1055">
        <f t="shared" si="4"/>
        <v>54.59400951951454</v>
      </c>
      <c r="J18" s="1055">
        <f t="shared" si="4"/>
        <v>55.19978396643055</v>
      </c>
      <c r="K18" s="949">
        <f>(((F18+100)*(100+G18)*(100+H18)*(100+I18)*(100+J18))^(1/5))-100</f>
        <v>53.978185048234565</v>
      </c>
    </row>
    <row r="19" spans="1:11" s="363" customFormat="1" ht="33.75" customHeight="1">
      <c r="A19" s="374">
        <v>2</v>
      </c>
      <c r="B19" s="375" t="s">
        <v>340</v>
      </c>
      <c r="C19" s="376"/>
      <c r="D19" s="372"/>
      <c r="E19" s="372"/>
      <c r="F19" s="373"/>
      <c r="G19" s="373"/>
      <c r="H19" s="373"/>
      <c r="I19" s="373"/>
      <c r="J19" s="373"/>
      <c r="K19" s="374"/>
    </row>
    <row r="20" spans="1:11" ht="33">
      <c r="A20" s="377"/>
      <c r="B20" s="379" t="s">
        <v>327</v>
      </c>
      <c r="C20" s="376" t="s">
        <v>318</v>
      </c>
      <c r="D20" s="1055">
        <v>9.520015521854537</v>
      </c>
      <c r="E20" s="1061">
        <v>11.495685</v>
      </c>
      <c r="F20" s="1061">
        <f>F24/1000000</f>
        <v>12.902095367836326</v>
      </c>
      <c r="G20" s="1061">
        <f>G24/1000000</f>
        <v>14.714016295044571</v>
      </c>
      <c r="H20" s="1061">
        <f>H24/1000000</f>
        <v>16.91935615964332</v>
      </c>
      <c r="I20" s="1061">
        <f>I24/1000000</f>
        <v>19.524718799522685</v>
      </c>
      <c r="J20" s="1061">
        <f>J24/1000000</f>
        <v>22.59676780325616</v>
      </c>
      <c r="K20" s="948">
        <f>J20</f>
        <v>22.59676780325616</v>
      </c>
    </row>
    <row r="21" spans="1:11" ht="37.5" customHeight="1">
      <c r="A21" s="870"/>
      <c r="B21" s="871" t="s">
        <v>328</v>
      </c>
      <c r="C21" s="872" t="s">
        <v>309</v>
      </c>
      <c r="D21" s="1062">
        <v>0.45333407246926355</v>
      </c>
      <c r="E21" s="1062">
        <f aca="true" t="shared" si="5" ref="E21:J21">E20/21000*1000</f>
        <v>0.5474135714285714</v>
      </c>
      <c r="F21" s="1062">
        <f t="shared" si="5"/>
        <v>0.6143854937064916</v>
      </c>
      <c r="G21" s="1062">
        <f t="shared" si="5"/>
        <v>0.7006674426211701</v>
      </c>
      <c r="H21" s="1062">
        <f t="shared" si="5"/>
        <v>0.805683626649682</v>
      </c>
      <c r="I21" s="1063">
        <f t="shared" si="5"/>
        <v>0.929748514262985</v>
      </c>
      <c r="J21" s="1063">
        <f t="shared" si="5"/>
        <v>1.0760365620598171</v>
      </c>
      <c r="K21" s="948">
        <f>J21</f>
        <v>1.0760365620598171</v>
      </c>
    </row>
    <row r="22" spans="1:11" ht="37.5" customHeight="1">
      <c r="A22" s="870"/>
      <c r="B22" s="871" t="s">
        <v>329</v>
      </c>
      <c r="C22" s="872" t="s">
        <v>310</v>
      </c>
      <c r="D22" s="1061">
        <v>863.1791810945628</v>
      </c>
      <c r="E22" s="1061">
        <v>1012.0545970932435</v>
      </c>
      <c r="F22" s="1061">
        <f>F20*1000000000/F58/21</f>
        <v>1103.7869800841006</v>
      </c>
      <c r="G22" s="1061">
        <f>G20*1000000000/G58/21</f>
        <v>1238.0027115077055</v>
      </c>
      <c r="H22" s="1061">
        <f>H20*1000000000/H58/21</f>
        <v>1400.2975960513515</v>
      </c>
      <c r="I22" s="1061">
        <f>I20*1000000000/I58/21</f>
        <v>1589.8137435757315</v>
      </c>
      <c r="J22" s="1061">
        <f>J20*1000000000/J58/21</f>
        <v>1810.3938685251462</v>
      </c>
      <c r="K22" s="948">
        <f>J22</f>
        <v>1810.3938685251462</v>
      </c>
    </row>
    <row r="23" spans="1:11" s="363" customFormat="1" ht="27" customHeight="1">
      <c r="A23" s="374">
        <v>3</v>
      </c>
      <c r="B23" s="375" t="s">
        <v>361</v>
      </c>
      <c r="C23" s="376"/>
      <c r="D23" s="372"/>
      <c r="E23" s="372"/>
      <c r="F23" s="373"/>
      <c r="G23" s="373"/>
      <c r="H23" s="373"/>
      <c r="I23" s="373"/>
      <c r="J23" s="373"/>
      <c r="K23" s="374"/>
    </row>
    <row r="24" spans="1:11" s="400" customFormat="1" ht="42.75" customHeight="1">
      <c r="A24" s="398"/>
      <c r="B24" s="391" t="s">
        <v>353</v>
      </c>
      <c r="C24" s="392" t="s">
        <v>316</v>
      </c>
      <c r="D24" s="399"/>
      <c r="E24" s="1064">
        <f aca="true" t="shared" si="6" ref="E24:J24">E26+E28+E30</f>
        <v>11495685</v>
      </c>
      <c r="F24" s="1064">
        <f t="shared" si="6"/>
        <v>12902095.367836326</v>
      </c>
      <c r="G24" s="1064">
        <f t="shared" si="6"/>
        <v>14714016.295044571</v>
      </c>
      <c r="H24" s="1064">
        <f t="shared" si="6"/>
        <v>16919356.159643322</v>
      </c>
      <c r="I24" s="1064">
        <f t="shared" si="6"/>
        <v>19524718.799522683</v>
      </c>
      <c r="J24" s="1064">
        <f t="shared" si="6"/>
        <v>22596767.80325616</v>
      </c>
      <c r="K24" s="403"/>
    </row>
    <row r="25" spans="1:11" ht="15.75" customHeight="1" hidden="1">
      <c r="A25" s="377"/>
      <c r="B25" s="378" t="s">
        <v>363</v>
      </c>
      <c r="C25" s="383"/>
      <c r="D25" s="854"/>
      <c r="E25" s="1065">
        <v>5.628</v>
      </c>
      <c r="F25" s="1065">
        <f>F37/(F24-E24)*1000</f>
        <v>5.755219234093401</v>
      </c>
      <c r="G25" s="1065">
        <f>G37/(G24-F24)*1000</f>
        <v>5.012586290944778</v>
      </c>
      <c r="H25" s="1065">
        <f>H37/(H24-G24)*1000</f>
        <v>4.614145721186345</v>
      </c>
      <c r="I25" s="1065">
        <f>I37/(I24-H24)*1000</f>
        <v>4.370681474701454</v>
      </c>
      <c r="J25" s="1065">
        <f>J37/(J24-I24)*1000</f>
        <v>4.144265675214645</v>
      </c>
      <c r="K25" s="862">
        <f>(F25*G25*H25*I25*J25)^(1/5)</f>
        <v>4.747252776852059</v>
      </c>
    </row>
    <row r="26" spans="1:11" s="363" customFormat="1" ht="36.75" customHeight="1">
      <c r="A26" s="374"/>
      <c r="B26" s="379" t="s">
        <v>349</v>
      </c>
      <c r="C26" s="383" t="s">
        <v>316</v>
      </c>
      <c r="D26" s="372"/>
      <c r="E26" s="1066">
        <v>2749796</v>
      </c>
      <c r="F26" s="1056">
        <f>E26*(1+F27/100)</f>
        <v>2985795.6429813956</v>
      </c>
      <c r="G26" s="1056">
        <f>F26*(1+G27/100)</f>
        <v>3244066.9660992865</v>
      </c>
      <c r="H26" s="1056">
        <f>G26*(1+H27/100)</f>
        <v>3523849.521823211</v>
      </c>
      <c r="I26" s="1056">
        <f>H26*(1+I27/100)</f>
        <v>3852977.0671614986</v>
      </c>
      <c r="J26" s="1056">
        <f>I26*(1+J27/100)</f>
        <v>4185874.2857642523</v>
      </c>
      <c r="K26" s="401"/>
    </row>
    <row r="27" spans="1:22" s="388" customFormat="1" ht="36.75" customHeight="1">
      <c r="A27" s="385"/>
      <c r="B27" s="852" t="s">
        <v>352</v>
      </c>
      <c r="C27" s="393"/>
      <c r="D27" s="387">
        <v>7.195070063692466</v>
      </c>
      <c r="E27" s="1067"/>
      <c r="F27" s="1185">
        <v>8.582441860465126</v>
      </c>
      <c r="G27" s="1068">
        <v>8.65</v>
      </c>
      <c r="H27" s="1069">
        <v>8.624438356164369</v>
      </c>
      <c r="I27" s="1068">
        <v>9.340000000000003</v>
      </c>
      <c r="J27" s="1068">
        <v>8.64</v>
      </c>
      <c r="K27" s="949">
        <f>(((F27+100)*(100+G27)*(100+H27)*(100+I27)*(100+J27))^(1/5))-100</f>
        <v>8.766997745964431</v>
      </c>
      <c r="L27" s="390">
        <v>1.0290697674418612</v>
      </c>
      <c r="M27" s="388">
        <v>1</v>
      </c>
      <c r="N27" s="388">
        <v>0.9890410958904093</v>
      </c>
      <c r="O27" s="388">
        <v>1</v>
      </c>
      <c r="P27" s="388">
        <v>1</v>
      </c>
      <c r="R27" s="388">
        <f>L27*F27</f>
        <v>8.831931449432142</v>
      </c>
      <c r="S27" s="388">
        <f aca="true" t="shared" si="7" ref="S27:V31">M27*G27</f>
        <v>8.65</v>
      </c>
      <c r="T27" s="388">
        <f t="shared" si="7"/>
        <v>8.529923963220087</v>
      </c>
      <c r="U27" s="388">
        <f t="shared" si="7"/>
        <v>9.340000000000003</v>
      </c>
      <c r="V27" s="388">
        <f t="shared" si="7"/>
        <v>8.64</v>
      </c>
    </row>
    <row r="28" spans="1:23" s="363" customFormat="1" ht="36.75" customHeight="1">
      <c r="A28" s="374"/>
      <c r="B28" s="379" t="s">
        <v>350</v>
      </c>
      <c r="C28" s="383" t="s">
        <v>316</v>
      </c>
      <c r="D28" s="396"/>
      <c r="E28" s="1066">
        <v>3031386</v>
      </c>
      <c r="F28" s="1056">
        <f>E28*(1+F29/100)</f>
        <v>3436510.4830949306</v>
      </c>
      <c r="G28" s="1056">
        <f>F28*(1+G29/100)</f>
        <v>3909914.422691475</v>
      </c>
      <c r="H28" s="1056">
        <f>G28*(1+H29/100)</f>
        <v>4482716.885615776</v>
      </c>
      <c r="I28" s="1056">
        <f>H28*(1+I29/100)</f>
        <v>5150193.429883965</v>
      </c>
      <c r="J28" s="1056">
        <f>I28*(1+J29/100)</f>
        <v>5964954.030491608</v>
      </c>
      <c r="K28" s="939"/>
      <c r="L28" s="857"/>
      <c r="R28" s="388">
        <f>L28*F28</f>
        <v>0</v>
      </c>
      <c r="S28" s="388">
        <f t="shared" si="7"/>
        <v>0</v>
      </c>
      <c r="T28" s="388">
        <f t="shared" si="7"/>
        <v>0</v>
      </c>
      <c r="U28" s="388">
        <f t="shared" si="7"/>
        <v>0</v>
      </c>
      <c r="V28" s="388">
        <f t="shared" si="7"/>
        <v>0</v>
      </c>
      <c r="W28" s="388"/>
    </row>
    <row r="29" spans="1:22" s="388" customFormat="1" ht="36.75" customHeight="1">
      <c r="A29" s="385"/>
      <c r="B29" s="852" t="s">
        <v>352</v>
      </c>
      <c r="C29" s="393"/>
      <c r="D29" s="387">
        <v>11.187800497051953</v>
      </c>
      <c r="E29" s="1067"/>
      <c r="F29" s="1069">
        <v>13.364331797235018</v>
      </c>
      <c r="G29" s="1069">
        <v>13.7757164404223</v>
      </c>
      <c r="H29" s="1069">
        <v>14.65</v>
      </c>
      <c r="I29" s="1069">
        <v>14.89</v>
      </c>
      <c r="J29" s="1069">
        <v>15.82</v>
      </c>
      <c r="K29" s="949">
        <f>(((F29+100)*(100+G29)*(100+H29)*(100+I29)*(100+J29))^(1/5))-100</f>
        <v>14.496753358982502</v>
      </c>
      <c r="L29" s="388">
        <v>1.1244239631336397</v>
      </c>
      <c r="M29" s="388">
        <v>1.1010558069381606</v>
      </c>
      <c r="N29" s="388">
        <v>1</v>
      </c>
      <c r="O29" s="388">
        <v>1</v>
      </c>
      <c r="P29" s="388">
        <v>1</v>
      </c>
      <c r="R29" s="388">
        <f>L29*F29</f>
        <v>15.027174924079915</v>
      </c>
      <c r="S29" s="388">
        <f t="shared" si="7"/>
        <v>15.167832581460463</v>
      </c>
      <c r="T29" s="388">
        <f t="shared" si="7"/>
        <v>14.65</v>
      </c>
      <c r="U29" s="388">
        <f t="shared" si="7"/>
        <v>14.89</v>
      </c>
      <c r="V29" s="388">
        <f t="shared" si="7"/>
        <v>15.82</v>
      </c>
    </row>
    <row r="30" spans="1:23" s="363" customFormat="1" ht="36.75" customHeight="1">
      <c r="A30" s="374"/>
      <c r="B30" s="379" t="s">
        <v>351</v>
      </c>
      <c r="C30" s="383" t="s">
        <v>316</v>
      </c>
      <c r="D30" s="396"/>
      <c r="E30" s="1070">
        <v>5714503</v>
      </c>
      <c r="F30" s="1056">
        <f>E30*(1+F31/100)</f>
        <v>6479789.241760001</v>
      </c>
      <c r="G30" s="1056">
        <f>F30*(1+G31/100)</f>
        <v>7560034.90625381</v>
      </c>
      <c r="H30" s="1056">
        <f>G30*(1+H31/100)</f>
        <v>8912789.752204336</v>
      </c>
      <c r="I30" s="1056">
        <f>H30*(1+I31/100)</f>
        <v>10521548.302477218</v>
      </c>
      <c r="J30" s="1056">
        <f>I30*(1+J31/100)</f>
        <v>12445939.487000301</v>
      </c>
      <c r="K30" s="401"/>
      <c r="R30" s="388">
        <f>L30*F30</f>
        <v>0</v>
      </c>
      <c r="S30" s="388">
        <f t="shared" si="7"/>
        <v>0</v>
      </c>
      <c r="T30" s="388">
        <f t="shared" si="7"/>
        <v>0</v>
      </c>
      <c r="U30" s="388">
        <f t="shared" si="7"/>
        <v>0</v>
      </c>
      <c r="V30" s="388">
        <f t="shared" si="7"/>
        <v>0</v>
      </c>
      <c r="W30" s="388"/>
    </row>
    <row r="31" spans="1:22" s="388" customFormat="1" ht="36.75" customHeight="1">
      <c r="A31" s="385"/>
      <c r="B31" s="852" t="s">
        <v>352</v>
      </c>
      <c r="C31" s="393"/>
      <c r="D31" s="387">
        <v>10.88135148444609</v>
      </c>
      <c r="E31" s="1067"/>
      <c r="F31" s="1069">
        <v>13.392</v>
      </c>
      <c r="G31" s="1069">
        <v>16.671</v>
      </c>
      <c r="H31" s="1069">
        <v>17.8935</v>
      </c>
      <c r="I31" s="1069">
        <v>18.05</v>
      </c>
      <c r="J31" s="1069">
        <v>18.29</v>
      </c>
      <c r="K31" s="949">
        <f>(((F31+100)*(100+G31)*(100+H31)*(100+I31)*(100+J31))^(1/5))-100</f>
        <v>16.844922271392804</v>
      </c>
      <c r="L31" s="388">
        <v>1.0231362467866323</v>
      </c>
      <c r="M31" s="388">
        <v>1.0088495575221244</v>
      </c>
      <c r="N31" s="388">
        <v>0.996277915632754</v>
      </c>
      <c r="O31" s="388">
        <v>1</v>
      </c>
      <c r="P31" s="388">
        <v>1</v>
      </c>
      <c r="R31" s="388">
        <f>L31*F31</f>
        <v>13.70184061696658</v>
      </c>
      <c r="S31" s="388">
        <f t="shared" si="7"/>
        <v>16.818530973451335</v>
      </c>
      <c r="T31" s="388">
        <f t="shared" si="7"/>
        <v>17.826898883374685</v>
      </c>
      <c r="U31" s="388">
        <f t="shared" si="7"/>
        <v>18.05</v>
      </c>
      <c r="V31" s="388">
        <f t="shared" si="7"/>
        <v>18.29</v>
      </c>
    </row>
    <row r="32" spans="1:11" s="363" customFormat="1" ht="36.75" customHeight="1">
      <c r="A32" s="374"/>
      <c r="B32" s="391" t="s">
        <v>354</v>
      </c>
      <c r="C32" s="392"/>
      <c r="D32" s="372"/>
      <c r="E32" s="1071">
        <f aca="true" t="shared" si="8" ref="E32:K32">E33+E34+E35</f>
        <v>100</v>
      </c>
      <c r="F32" s="1071">
        <f t="shared" si="8"/>
        <v>100</v>
      </c>
      <c r="G32" s="1071">
        <f t="shared" si="8"/>
        <v>100</v>
      </c>
      <c r="H32" s="1071">
        <f t="shared" si="8"/>
        <v>100</v>
      </c>
      <c r="I32" s="1071">
        <f t="shared" si="8"/>
        <v>100</v>
      </c>
      <c r="J32" s="1071">
        <f t="shared" si="8"/>
        <v>100</v>
      </c>
      <c r="K32" s="1071">
        <f t="shared" si="8"/>
        <v>99.97913246462916</v>
      </c>
    </row>
    <row r="33" spans="1:12" ht="36.75" customHeight="1">
      <c r="A33" s="377"/>
      <c r="B33" s="379" t="s">
        <v>289</v>
      </c>
      <c r="C33" s="376" t="s">
        <v>308</v>
      </c>
      <c r="D33" s="414">
        <f>E33</f>
        <v>23.92024485709203</v>
      </c>
      <c r="E33" s="1072">
        <f aca="true" t="shared" si="9" ref="E33:J33">E26/E24*100</f>
        <v>23.92024485709203</v>
      </c>
      <c r="F33" s="1072">
        <f t="shared" si="9"/>
        <v>23.14194367547999</v>
      </c>
      <c r="G33" s="1072">
        <f t="shared" si="9"/>
        <v>22.04746074116985</v>
      </c>
      <c r="H33" s="1072">
        <f t="shared" si="9"/>
        <v>20.827326338979894</v>
      </c>
      <c r="I33" s="1072">
        <f t="shared" si="9"/>
        <v>19.733841530438283</v>
      </c>
      <c r="J33" s="1072">
        <f t="shared" si="9"/>
        <v>18.524216924338504</v>
      </c>
      <c r="K33" s="950">
        <f>(((F33+100)*(100+G33)*(100+H33)*(100+I33)*(100+J33))^(1/5))-100</f>
        <v>20.843914748003357</v>
      </c>
      <c r="L33" s="416">
        <f>E33-J33</f>
        <v>5.396027932753526</v>
      </c>
    </row>
    <row r="34" spans="1:12" ht="36.75" customHeight="1">
      <c r="A34" s="870"/>
      <c r="B34" s="871" t="s">
        <v>290</v>
      </c>
      <c r="C34" s="872" t="s">
        <v>308</v>
      </c>
      <c r="D34" s="874">
        <f>E34</f>
        <v>26.369772658175656</v>
      </c>
      <c r="E34" s="1072">
        <f aca="true" t="shared" si="10" ref="E34:J34">E28/E24*100</f>
        <v>26.369772658175656</v>
      </c>
      <c r="F34" s="1072">
        <f t="shared" si="10"/>
        <v>26.635289734889252</v>
      </c>
      <c r="G34" s="1072">
        <f t="shared" si="10"/>
        <v>26.572720488343265</v>
      </c>
      <c r="H34" s="1072">
        <f t="shared" si="10"/>
        <v>26.494606788337016</v>
      </c>
      <c r="I34" s="1072">
        <f t="shared" si="10"/>
        <v>26.37781103413316</v>
      </c>
      <c r="J34" s="1072">
        <f t="shared" si="10"/>
        <v>26.397377193175686</v>
      </c>
      <c r="K34" s="950">
        <f>(((F34+100)*(100+G34)*(100+H34)*(100+I34)*(100+J34))^(1/5))-100</f>
        <v>26.495522326623203</v>
      </c>
      <c r="L34" s="416">
        <f>E34-J34</f>
        <v>-0.02760453500003024</v>
      </c>
    </row>
    <row r="35" spans="1:12" ht="36.75" customHeight="1">
      <c r="A35" s="870"/>
      <c r="B35" s="871" t="s">
        <v>291</v>
      </c>
      <c r="C35" s="872" t="s">
        <v>308</v>
      </c>
      <c r="D35" s="874">
        <f>E35</f>
        <v>49.709982484732315</v>
      </c>
      <c r="E35" s="1072">
        <f aca="true" t="shared" si="11" ref="E35:J35">E30/E24*100</f>
        <v>49.709982484732315</v>
      </c>
      <c r="F35" s="1072">
        <f t="shared" si="11"/>
        <v>50.222766589630766</v>
      </c>
      <c r="G35" s="1072">
        <f t="shared" si="11"/>
        <v>51.379818770486885</v>
      </c>
      <c r="H35" s="1072">
        <f t="shared" si="11"/>
        <v>52.6780668726831</v>
      </c>
      <c r="I35" s="1072">
        <f t="shared" si="11"/>
        <v>53.88834743542855</v>
      </c>
      <c r="J35" s="1072">
        <f t="shared" si="11"/>
        <v>55.07840588248582</v>
      </c>
      <c r="K35" s="950">
        <f>(((F35+100)*(100+G35)*(100+H35)*(100+I35)*(100+J35))^(1/5))-100</f>
        <v>52.6396953900026</v>
      </c>
      <c r="L35" s="416">
        <f>E35-J35</f>
        <v>-5.368423397753503</v>
      </c>
    </row>
    <row r="36" spans="1:11" s="363" customFormat="1" ht="39" customHeight="1">
      <c r="A36" s="374">
        <v>4</v>
      </c>
      <c r="B36" s="375" t="s">
        <v>325</v>
      </c>
      <c r="C36" s="376" t="s">
        <v>308</v>
      </c>
      <c r="D36" s="372">
        <v>69.7</v>
      </c>
      <c r="E36" s="372">
        <f aca="true" t="shared" si="12" ref="E36:J36">E37*1000/E24*100</f>
        <v>62.68438983844808</v>
      </c>
      <c r="F36" s="372">
        <f t="shared" si="12"/>
        <v>62.73554619800793</v>
      </c>
      <c r="G36" s="372">
        <f t="shared" si="12"/>
        <v>61.726246715241174</v>
      </c>
      <c r="H36" s="372">
        <f t="shared" si="12"/>
        <v>60.142711129112584</v>
      </c>
      <c r="I36" s="372">
        <f t="shared" si="12"/>
        <v>58.32201908730374</v>
      </c>
      <c r="J36" s="372">
        <f t="shared" si="12"/>
        <v>56.34162969500189</v>
      </c>
      <c r="K36" s="413">
        <f>(F36*G36*H36*I36*J36)^(1/5)</f>
        <v>59.80888446459479</v>
      </c>
    </row>
    <row r="37" spans="1:13" s="363" customFormat="1" ht="39" customHeight="1">
      <c r="A37" s="374"/>
      <c r="B37" s="375" t="s">
        <v>360</v>
      </c>
      <c r="C37" s="376" t="s">
        <v>368</v>
      </c>
      <c r="D37" s="1181">
        <f>D38+D40+D42+D43+D47</f>
        <v>33614.987639601</v>
      </c>
      <c r="E37" s="1181">
        <f aca="true" t="shared" si="13" ref="E37:J37">E38+E40+E42+E43+E47</f>
        <v>7206</v>
      </c>
      <c r="F37" s="1181">
        <f>F38+F40+F42+F43+F47</f>
        <v>8094.2</v>
      </c>
      <c r="G37" s="1181">
        <f t="shared" si="13"/>
        <v>9082.41</v>
      </c>
      <c r="H37" s="1181">
        <f t="shared" si="13"/>
        <v>10175.7595</v>
      </c>
      <c r="I37" s="1181">
        <f t="shared" si="13"/>
        <v>11387.210224999999</v>
      </c>
      <c r="J37" s="1181">
        <f t="shared" si="13"/>
        <v>12731.387238750001</v>
      </c>
      <c r="K37" s="384">
        <f>K38+K40+K42+K43+K47</f>
        <v>51470.966963750005</v>
      </c>
      <c r="L37" s="363">
        <f>K37/100*0.6</f>
        <v>308.82580178250004</v>
      </c>
      <c r="M37" s="938"/>
    </row>
    <row r="38" spans="1:14" s="363" customFormat="1" ht="39" customHeight="1">
      <c r="A38" s="374"/>
      <c r="B38" s="394" t="s">
        <v>355</v>
      </c>
      <c r="C38" s="376" t="s">
        <v>368</v>
      </c>
      <c r="D38" s="1179">
        <v>5601.003639601</v>
      </c>
      <c r="E38" s="1182">
        <v>1319</v>
      </c>
      <c r="F38" s="1179">
        <f>E38/100*110</f>
        <v>1450.8999999999999</v>
      </c>
      <c r="G38" s="1179">
        <f>F38/100*110</f>
        <v>1595.9899999999998</v>
      </c>
      <c r="H38" s="1179">
        <f>G38/100*110</f>
        <v>1755.5889999999997</v>
      </c>
      <c r="I38" s="1179">
        <f>H38/100*110</f>
        <v>1931.1478999999997</v>
      </c>
      <c r="J38" s="1179">
        <f>I38/100*110</f>
        <v>2124.26269</v>
      </c>
      <c r="K38" s="929">
        <f>SUM(F38:J38)</f>
        <v>8857.889589999999</v>
      </c>
      <c r="L38" s="857">
        <f>K38+K40+K42</f>
        <v>26027.962713750003</v>
      </c>
      <c r="M38" s="802">
        <f>F37/E37*100</f>
        <v>112.32583957812933</v>
      </c>
      <c r="N38" s="1192">
        <f>L38/K37</f>
        <v>0.5056824118358023</v>
      </c>
    </row>
    <row r="39" spans="1:14" s="388" customFormat="1" ht="39" customHeight="1">
      <c r="A39" s="385"/>
      <c r="B39" s="853" t="s">
        <v>352</v>
      </c>
      <c r="C39" s="397" t="s">
        <v>5</v>
      </c>
      <c r="D39" s="1172"/>
      <c r="E39" s="1173">
        <v>8</v>
      </c>
      <c r="F39" s="1174">
        <f>F38/E38*100-100</f>
        <v>9.999999999999986</v>
      </c>
      <c r="G39" s="1174">
        <f>G38/F38*100-100</f>
        <v>9.999999999999986</v>
      </c>
      <c r="H39" s="1174">
        <f>H38/G38*100-100</f>
        <v>9.999999999999986</v>
      </c>
      <c r="I39" s="1174">
        <f>I38/H38*100-100</f>
        <v>10.000000000000014</v>
      </c>
      <c r="J39" s="1174">
        <f>J38/I38*100-100</f>
        <v>10.000000000000014</v>
      </c>
      <c r="K39" s="803">
        <f>((J38/E38)^(1/5))*100-100</f>
        <v>10.000000000000014</v>
      </c>
      <c r="L39" s="934">
        <f>F38+F40</f>
        <v>3626.7</v>
      </c>
      <c r="M39" s="363">
        <f>L39/F37*100</f>
        <v>44.806157495490595</v>
      </c>
      <c r="N39" s="802"/>
    </row>
    <row r="40" spans="1:14" s="363" customFormat="1" ht="39" customHeight="1">
      <c r="A40" s="374"/>
      <c r="B40" s="394" t="s">
        <v>356</v>
      </c>
      <c r="C40" s="376" t="s">
        <v>368</v>
      </c>
      <c r="D40" s="1179">
        <v>12396.984</v>
      </c>
      <c r="E40" s="1094">
        <v>1892</v>
      </c>
      <c r="F40" s="1179">
        <f>E40/100*115</f>
        <v>2175.8</v>
      </c>
      <c r="G40" s="1183">
        <f>F40/100*115</f>
        <v>2502.1700000000005</v>
      </c>
      <c r="H40" s="1183">
        <f>G40/100*115</f>
        <v>2877.495500000001</v>
      </c>
      <c r="I40" s="1183">
        <f>H40/100*115</f>
        <v>3309.119825000001</v>
      </c>
      <c r="J40" s="1183">
        <f>I40/100*115</f>
        <v>3805.4877987500013</v>
      </c>
      <c r="K40" s="396">
        <f>SUM(F40:J40)</f>
        <v>14670.073123750004</v>
      </c>
      <c r="L40" s="802">
        <f>K40/K37*100</f>
        <v>28.501646635241666</v>
      </c>
      <c r="M40" s="417">
        <f>K40+K38+K42</f>
        <v>26027.962713750003</v>
      </c>
      <c r="N40" s="802"/>
    </row>
    <row r="41" spans="1:14" s="388" customFormat="1" ht="39" customHeight="1">
      <c r="A41" s="385"/>
      <c r="B41" s="853" t="s">
        <v>352</v>
      </c>
      <c r="C41" s="387" t="s">
        <v>5</v>
      </c>
      <c r="D41" s="1173"/>
      <c r="E41" s="1173">
        <v>8.79</v>
      </c>
      <c r="F41" s="1174">
        <f>F40/E40*100-100</f>
        <v>15.000000000000014</v>
      </c>
      <c r="G41" s="1174">
        <f>G40/F40*100-100</f>
        <v>15.000000000000014</v>
      </c>
      <c r="H41" s="1174">
        <f>H40/G40*100-100</f>
        <v>15.000000000000014</v>
      </c>
      <c r="I41" s="1174">
        <f>I40/H40*100-100</f>
        <v>15.000000000000014</v>
      </c>
      <c r="J41" s="1174">
        <f>J40/I40*100-100</f>
        <v>14.999999999999986</v>
      </c>
      <c r="K41" s="803">
        <f>((J40/E40)^(1/5))*100-100</f>
        <v>15.000000000000014</v>
      </c>
      <c r="L41" s="363"/>
      <c r="M41" s="848"/>
      <c r="N41" s="848">
        <f>K38/M40</f>
        <v>0.3403220485374589</v>
      </c>
    </row>
    <row r="42" spans="1:14" s="933" customFormat="1" ht="36.75" customHeight="1">
      <c r="A42" s="930"/>
      <c r="B42" s="931" t="s">
        <v>712</v>
      </c>
      <c r="C42" s="932"/>
      <c r="D42" s="1175">
        <v>1075</v>
      </c>
      <c r="E42" s="1175">
        <v>220</v>
      </c>
      <c r="F42" s="1176">
        <v>300</v>
      </c>
      <c r="G42" s="1176">
        <v>400</v>
      </c>
      <c r="H42" s="1176">
        <v>500</v>
      </c>
      <c r="I42" s="1176">
        <v>600</v>
      </c>
      <c r="J42" s="1176">
        <v>700</v>
      </c>
      <c r="K42" s="929">
        <f>SUM(F42:J42)</f>
        <v>2500</v>
      </c>
      <c r="L42" s="857">
        <f>K42+K45</f>
        <v>16898.26784</v>
      </c>
      <c r="M42" s="848">
        <f>K40/M40</f>
        <v>0.5636274066122019</v>
      </c>
      <c r="N42" s="848">
        <f>K42/M40</f>
        <v>0.09605054485033916</v>
      </c>
    </row>
    <row r="43" spans="1:14" s="363" customFormat="1" ht="39" customHeight="1">
      <c r="A43" s="374"/>
      <c r="B43" s="940" t="s">
        <v>719</v>
      </c>
      <c r="C43" s="376" t="s">
        <v>368</v>
      </c>
      <c r="D43" s="1179">
        <f aca="true" t="shared" si="14" ref="D43:J43">D45+D46</f>
        <v>14542</v>
      </c>
      <c r="E43" s="1184">
        <f t="shared" si="14"/>
        <v>3775</v>
      </c>
      <c r="F43" s="1184">
        <f t="shared" si="14"/>
        <v>4152.5</v>
      </c>
      <c r="G43" s="1184">
        <f t="shared" si="14"/>
        <v>4567.75</v>
      </c>
      <c r="H43" s="1184">
        <f t="shared" si="14"/>
        <v>5024.525</v>
      </c>
      <c r="I43" s="1184">
        <f t="shared" si="14"/>
        <v>5526.977499999999</v>
      </c>
      <c r="J43" s="1184">
        <f t="shared" si="14"/>
        <v>6079.67525</v>
      </c>
      <c r="K43" s="412">
        <f>SUM(F43:J43)</f>
        <v>25351.42775</v>
      </c>
      <c r="L43" s="363">
        <f>K42/K37*100</f>
        <v>4.85710711780624</v>
      </c>
      <c r="M43" s="857"/>
      <c r="N43" s="802"/>
    </row>
    <row r="44" spans="1:13" s="388" customFormat="1" ht="39" customHeight="1">
      <c r="A44" s="385"/>
      <c r="B44" s="853" t="s">
        <v>352</v>
      </c>
      <c r="C44" s="387" t="s">
        <v>5</v>
      </c>
      <c r="D44" s="1173"/>
      <c r="E44" s="1177">
        <v>6.3</v>
      </c>
      <c r="F44" s="1178">
        <f>F43/E43*100-100</f>
        <v>10.000000000000014</v>
      </c>
      <c r="G44" s="1178">
        <f>G43/F43*100-100</f>
        <v>10.000000000000014</v>
      </c>
      <c r="H44" s="1178">
        <f>H43/G43*100-100</f>
        <v>9.999999999999986</v>
      </c>
      <c r="I44" s="1178">
        <f>I43/H43*100-100</f>
        <v>9.999999999999986</v>
      </c>
      <c r="J44" s="1178">
        <f>J43/I43*100-100</f>
        <v>10.000000000000028</v>
      </c>
      <c r="K44" s="937">
        <f>((J43/E43)^(1/5))*100-100</f>
        <v>10.000000000000014</v>
      </c>
      <c r="L44" s="1193">
        <f>K43/K37</f>
        <v>0.49253840068430255</v>
      </c>
      <c r="M44" s="936"/>
    </row>
    <row r="45" spans="1:15" s="363" customFormat="1" ht="39" customHeight="1">
      <c r="A45" s="374"/>
      <c r="B45" s="395" t="s">
        <v>357</v>
      </c>
      <c r="C45" s="376" t="s">
        <v>368</v>
      </c>
      <c r="D45" s="1179">
        <f>8584-D42</f>
        <v>7509</v>
      </c>
      <c r="E45" s="1180">
        <f>2144</f>
        <v>2144</v>
      </c>
      <c r="F45" s="1094">
        <f aca="true" t="shared" si="15" ref="F45:J46">E45/100*110</f>
        <v>2358.4</v>
      </c>
      <c r="G45" s="1094">
        <f t="shared" si="15"/>
        <v>2594.24</v>
      </c>
      <c r="H45" s="1094">
        <f t="shared" si="15"/>
        <v>2853.6639999999998</v>
      </c>
      <c r="I45" s="1094">
        <f t="shared" si="15"/>
        <v>3139.0303999999996</v>
      </c>
      <c r="J45" s="1094">
        <f t="shared" si="15"/>
        <v>3452.93344</v>
      </c>
      <c r="K45" s="418">
        <f>SUM(F45:J45)</f>
        <v>14398.26784</v>
      </c>
      <c r="M45" s="936"/>
      <c r="O45" s="417"/>
    </row>
    <row r="46" spans="1:13" s="363" customFormat="1" ht="39" customHeight="1">
      <c r="A46" s="374"/>
      <c r="B46" s="395" t="s">
        <v>358</v>
      </c>
      <c r="C46" s="376" t="s">
        <v>368</v>
      </c>
      <c r="D46" s="1179">
        <v>7033</v>
      </c>
      <c r="E46" s="1180">
        <f>1665-34</f>
        <v>1631</v>
      </c>
      <c r="F46" s="1094">
        <f t="shared" si="15"/>
        <v>1794.1</v>
      </c>
      <c r="G46" s="1094">
        <f t="shared" si="15"/>
        <v>1973.51</v>
      </c>
      <c r="H46" s="1094">
        <f t="shared" si="15"/>
        <v>2170.861</v>
      </c>
      <c r="I46" s="1094">
        <f t="shared" si="15"/>
        <v>2387.9471</v>
      </c>
      <c r="J46" s="1094">
        <f t="shared" si="15"/>
        <v>2626.74181</v>
      </c>
      <c r="K46" s="418">
        <f>SUM(F46:J46)</f>
        <v>10953.159909999998</v>
      </c>
      <c r="L46" s="802"/>
      <c r="M46" s="934"/>
    </row>
    <row r="47" spans="1:13" s="363" customFormat="1" ht="42" customHeight="1">
      <c r="A47" s="374"/>
      <c r="B47" s="394" t="s">
        <v>359</v>
      </c>
      <c r="C47" s="376" t="s">
        <v>368</v>
      </c>
      <c r="D47" s="372"/>
      <c r="E47" s="396"/>
      <c r="F47" s="804">
        <f>'BM9'!F29*1000</f>
        <v>15</v>
      </c>
      <c r="G47" s="804">
        <f>'BM9'!G29*1000</f>
        <v>16.5</v>
      </c>
      <c r="H47" s="804">
        <f>'BM9'!H29*1000</f>
        <v>18.15</v>
      </c>
      <c r="I47" s="804">
        <f>'BM9'!I29*1000</f>
        <v>19.965</v>
      </c>
      <c r="J47" s="804">
        <f>'BM9'!J29*1000</f>
        <v>21.9615</v>
      </c>
      <c r="K47" s="418">
        <f>SUM(F47:J47)</f>
        <v>91.5765</v>
      </c>
      <c r="L47" s="420"/>
      <c r="M47" s="419"/>
    </row>
    <row r="48" spans="1:11" s="363" customFormat="1" ht="63" customHeight="1">
      <c r="A48" s="374">
        <v>5</v>
      </c>
      <c r="B48" s="375" t="s">
        <v>326</v>
      </c>
      <c r="C48" s="376" t="s">
        <v>308</v>
      </c>
      <c r="D48" s="952" t="s">
        <v>730</v>
      </c>
      <c r="E48" s="1163" t="s">
        <v>729</v>
      </c>
      <c r="F48" s="1163" t="s">
        <v>731</v>
      </c>
      <c r="G48" s="1163" t="s">
        <v>732</v>
      </c>
      <c r="H48" s="1163" t="s">
        <v>733</v>
      </c>
      <c r="I48" s="1163" t="s">
        <v>734</v>
      </c>
      <c r="J48" s="1163" t="s">
        <v>735</v>
      </c>
      <c r="K48" s="1163" t="s">
        <v>728</v>
      </c>
    </row>
    <row r="49" spans="1:11" s="363" customFormat="1" ht="36.75" customHeight="1">
      <c r="A49" s="374">
        <v>6</v>
      </c>
      <c r="B49" s="375" t="s">
        <v>292</v>
      </c>
      <c r="C49" s="376"/>
      <c r="D49" s="1084">
        <f>D50+D53</f>
        <v>137.72</v>
      </c>
      <c r="E49" s="1084">
        <f aca="true" t="shared" si="16" ref="E49:J49">E50+E53</f>
        <v>36</v>
      </c>
      <c r="F49" s="1084">
        <f t="shared" si="16"/>
        <v>45</v>
      </c>
      <c r="G49" s="1084">
        <f t="shared" si="16"/>
        <v>55</v>
      </c>
      <c r="H49" s="1084">
        <f t="shared" si="16"/>
        <v>67</v>
      </c>
      <c r="I49" s="1084">
        <f t="shared" si="16"/>
        <v>83</v>
      </c>
      <c r="J49" s="1084">
        <f t="shared" si="16"/>
        <v>100</v>
      </c>
      <c r="K49" s="858">
        <f>K50+K53</f>
        <v>350</v>
      </c>
    </row>
    <row r="50" spans="1:11" ht="35.25" customHeight="1">
      <c r="A50" s="377"/>
      <c r="B50" s="379" t="s">
        <v>293</v>
      </c>
      <c r="C50" s="376" t="s">
        <v>707</v>
      </c>
      <c r="D50" s="408">
        <v>93</v>
      </c>
      <c r="E50" s="408">
        <v>27</v>
      </c>
      <c r="F50" s="410">
        <v>32</v>
      </c>
      <c r="G50" s="410">
        <v>39</v>
      </c>
      <c r="H50" s="410">
        <v>44</v>
      </c>
      <c r="I50" s="410">
        <v>50</v>
      </c>
      <c r="J50" s="380">
        <v>55</v>
      </c>
      <c r="K50" s="412">
        <f>SUM(F50:J50)</f>
        <v>220</v>
      </c>
    </row>
    <row r="51" spans="1:11" s="367" customFormat="1" ht="35.25" customHeight="1">
      <c r="A51" s="870"/>
      <c r="B51" s="378" t="s">
        <v>294</v>
      </c>
      <c r="C51" s="376" t="s">
        <v>308</v>
      </c>
      <c r="D51" s="408">
        <v>26.21</v>
      </c>
      <c r="E51" s="875">
        <v>16.38</v>
      </c>
      <c r="F51" s="404">
        <v>34.40860215053764</v>
      </c>
      <c r="G51" s="411">
        <v>121.875</v>
      </c>
      <c r="H51" s="411">
        <v>112.82051282051282</v>
      </c>
      <c r="I51" s="411">
        <v>113.63636363636364</v>
      </c>
      <c r="J51" s="404">
        <v>110.00000000000001</v>
      </c>
      <c r="K51" s="405"/>
    </row>
    <row r="52" spans="1:11" ht="35.25" customHeight="1" hidden="1">
      <c r="A52" s="377"/>
      <c r="B52" s="381" t="s">
        <v>322</v>
      </c>
      <c r="C52" s="376" t="s">
        <v>310</v>
      </c>
      <c r="D52" s="408"/>
      <c r="E52" s="408"/>
      <c r="F52" s="410"/>
      <c r="G52" s="410"/>
      <c r="H52" s="410"/>
      <c r="I52" s="410"/>
      <c r="J52" s="406"/>
      <c r="K52" s="377"/>
    </row>
    <row r="53" spans="1:11" ht="35.25" customHeight="1">
      <c r="A53" s="870"/>
      <c r="B53" s="876" t="s">
        <v>295</v>
      </c>
      <c r="C53" s="872" t="s">
        <v>707</v>
      </c>
      <c r="D53" s="877">
        <v>44.72</v>
      </c>
      <c r="E53" s="877">
        <v>9</v>
      </c>
      <c r="F53" s="878">
        <v>13</v>
      </c>
      <c r="G53" s="878">
        <v>16</v>
      </c>
      <c r="H53" s="878">
        <v>23</v>
      </c>
      <c r="I53" s="878">
        <v>33</v>
      </c>
      <c r="J53" s="879">
        <v>45</v>
      </c>
      <c r="K53" s="880">
        <f>SUM(F53:J53)</f>
        <v>130</v>
      </c>
    </row>
    <row r="54" spans="1:11" s="367" customFormat="1" ht="35.25" customHeight="1">
      <c r="A54" s="870"/>
      <c r="B54" s="378" t="s">
        <v>296</v>
      </c>
      <c r="C54" s="376" t="s">
        <v>308</v>
      </c>
      <c r="D54" s="953">
        <v>12.85</v>
      </c>
      <c r="E54" s="954" t="s">
        <v>717</v>
      </c>
      <c r="F54" s="411">
        <v>31.70731707317073</v>
      </c>
      <c r="G54" s="411">
        <v>123.076923076923</v>
      </c>
      <c r="H54" s="411">
        <v>143.75</v>
      </c>
      <c r="I54" s="411">
        <v>143.47826086956522</v>
      </c>
      <c r="J54" s="404">
        <v>136.36363636363635</v>
      </c>
      <c r="K54" s="405"/>
    </row>
    <row r="55" spans="1:11" ht="35.25" customHeight="1">
      <c r="A55" s="377"/>
      <c r="B55" s="381" t="s">
        <v>302</v>
      </c>
      <c r="C55" s="376" t="s">
        <v>707</v>
      </c>
      <c r="D55" s="408">
        <v>50</v>
      </c>
      <c r="E55" s="408">
        <v>50</v>
      </c>
      <c r="F55" s="410">
        <v>42.22222222222222</v>
      </c>
      <c r="G55" s="410">
        <v>41.81818181818181</v>
      </c>
      <c r="H55" s="410">
        <v>31.343283582089555</v>
      </c>
      <c r="I55" s="410">
        <v>20.481927710843372</v>
      </c>
      <c r="J55" s="380">
        <v>10</v>
      </c>
      <c r="K55" s="377"/>
    </row>
    <row r="56" spans="1:11" s="363" customFormat="1" ht="35.25" customHeight="1">
      <c r="A56" s="374">
        <v>7</v>
      </c>
      <c r="B56" s="375" t="s">
        <v>278</v>
      </c>
      <c r="C56" s="376" t="s">
        <v>308</v>
      </c>
      <c r="D56" s="372"/>
      <c r="E56" s="372"/>
      <c r="F56" s="373"/>
      <c r="G56" s="373"/>
      <c r="H56" s="373"/>
      <c r="I56" s="373"/>
      <c r="J56" s="373"/>
      <c r="K56" s="374"/>
    </row>
    <row r="57" spans="1:11" s="363" customFormat="1" ht="35.25" customHeight="1">
      <c r="A57" s="374" t="s">
        <v>11</v>
      </c>
      <c r="B57" s="375" t="s">
        <v>297</v>
      </c>
      <c r="C57" s="376"/>
      <c r="D57" s="372"/>
      <c r="E57" s="372"/>
      <c r="F57" s="373"/>
      <c r="G57" s="373"/>
      <c r="H57" s="373"/>
      <c r="I57" s="373"/>
      <c r="J57" s="373"/>
      <c r="K57" s="374"/>
    </row>
    <row r="58" spans="1:11" ht="35.25" customHeight="1">
      <c r="A58" s="377"/>
      <c r="B58" s="381" t="s">
        <v>303</v>
      </c>
      <c r="C58" s="376" t="s">
        <v>514</v>
      </c>
      <c r="D58" s="1093">
        <v>547378</v>
      </c>
      <c r="E58" s="1094">
        <v>547378</v>
      </c>
      <c r="F58" s="1095">
        <v>556616</v>
      </c>
      <c r="G58" s="1095">
        <v>565966</v>
      </c>
      <c r="H58" s="1095">
        <v>575366</v>
      </c>
      <c r="I58" s="1095">
        <v>584816</v>
      </c>
      <c r="J58" s="1095">
        <v>594366</v>
      </c>
      <c r="K58" s="1094" t="s">
        <v>721</v>
      </c>
    </row>
    <row r="59" spans="1:11" ht="35.25" customHeight="1">
      <c r="A59" s="870"/>
      <c r="B59" s="881" t="s">
        <v>330</v>
      </c>
      <c r="C59" s="872" t="s">
        <v>308</v>
      </c>
      <c r="D59" s="1055">
        <v>1.73</v>
      </c>
      <c r="E59" s="1055">
        <v>1.73</v>
      </c>
      <c r="F59" s="1096">
        <f>F58/E58*100-100</f>
        <v>1.6876820040264704</v>
      </c>
      <c r="G59" s="1096">
        <f>G58/F58*100-100</f>
        <v>1.679793609957315</v>
      </c>
      <c r="H59" s="1096">
        <f>H58/G58*100-100</f>
        <v>1.6608771551648118</v>
      </c>
      <c r="I59" s="1096">
        <f>I58/H58*100-100</f>
        <v>1.6424328166766884</v>
      </c>
      <c r="J59" s="1092">
        <f>(J58-I58)/I58*100</f>
        <v>1.6329922573937787</v>
      </c>
      <c r="K59" s="1097">
        <v>1.6342758082543358</v>
      </c>
    </row>
    <row r="60" spans="1:11" ht="55.5" customHeight="1">
      <c r="A60" s="870"/>
      <c r="B60" s="881" t="s">
        <v>298</v>
      </c>
      <c r="C60" s="872" t="s">
        <v>308</v>
      </c>
      <c r="D60" s="1055">
        <v>4.14</v>
      </c>
      <c r="E60" s="1055">
        <v>4.56</v>
      </c>
      <c r="F60" s="1168">
        <v>2.73</v>
      </c>
      <c r="G60" s="1168">
        <v>3</v>
      </c>
      <c r="H60" s="1168">
        <v>3</v>
      </c>
      <c r="I60" s="1168">
        <v>2.74</v>
      </c>
      <c r="J60" s="1169">
        <v>2.24</v>
      </c>
      <c r="K60" s="1170">
        <f>(F60*G60*H60*I60*J60)^(1/5)</f>
        <v>2.726972432068843</v>
      </c>
    </row>
    <row r="61" spans="1:11" ht="45.75" customHeight="1">
      <c r="A61" s="870"/>
      <c r="B61" s="881" t="s">
        <v>313</v>
      </c>
      <c r="C61" s="872" t="s">
        <v>514</v>
      </c>
      <c r="D61" s="1098">
        <v>8525</v>
      </c>
      <c r="E61" s="1099">
        <v>8500</v>
      </c>
      <c r="F61" s="1100">
        <v>8500</v>
      </c>
      <c r="G61" s="1100">
        <v>8550</v>
      </c>
      <c r="H61" s="1100">
        <v>8600</v>
      </c>
      <c r="I61" s="1100">
        <v>8650</v>
      </c>
      <c r="J61" s="1100">
        <v>8700</v>
      </c>
      <c r="K61" s="1101">
        <v>8600</v>
      </c>
    </row>
    <row r="62" spans="1:11" ht="76.5" customHeight="1">
      <c r="A62" s="870"/>
      <c r="B62" s="881" t="s">
        <v>314</v>
      </c>
      <c r="C62" s="872" t="s">
        <v>308</v>
      </c>
      <c r="D62" s="872">
        <v>42.7</v>
      </c>
      <c r="E62" s="873">
        <v>43.77</v>
      </c>
      <c r="F62" s="879">
        <v>46.09</v>
      </c>
      <c r="G62" s="879">
        <v>49.7</v>
      </c>
      <c r="H62" s="879">
        <v>52.1</v>
      </c>
      <c r="I62" s="879">
        <v>55.54</v>
      </c>
      <c r="J62" s="879">
        <v>58.6</v>
      </c>
      <c r="K62" s="882">
        <v>58.6</v>
      </c>
    </row>
    <row r="63" spans="1:11" ht="41.25" customHeight="1" hidden="1">
      <c r="A63" s="870"/>
      <c r="B63" s="881" t="s">
        <v>344</v>
      </c>
      <c r="C63" s="872" t="s">
        <v>308</v>
      </c>
      <c r="D63" s="872"/>
      <c r="E63" s="872"/>
      <c r="F63" s="879"/>
      <c r="G63" s="879"/>
      <c r="H63" s="879"/>
      <c r="I63" s="879"/>
      <c r="J63" s="879"/>
      <c r="K63" s="870"/>
    </row>
    <row r="64" spans="1:11" ht="45.75" customHeight="1">
      <c r="A64" s="870"/>
      <c r="B64" s="881" t="s">
        <v>315</v>
      </c>
      <c r="C64" s="872" t="s">
        <v>308</v>
      </c>
      <c r="D64" s="872">
        <v>3.2</v>
      </c>
      <c r="E64" s="872">
        <v>3.3</v>
      </c>
      <c r="F64" s="879">
        <v>3.06</v>
      </c>
      <c r="G64" s="879">
        <v>2.92</v>
      </c>
      <c r="H64" s="879">
        <v>2.78</v>
      </c>
      <c r="I64" s="879">
        <v>2.64</v>
      </c>
      <c r="J64" s="879">
        <v>2.5</v>
      </c>
      <c r="K64" s="883">
        <v>2.5</v>
      </c>
    </row>
    <row r="65" spans="1:11" ht="59.25" customHeight="1" hidden="1">
      <c r="A65" s="870"/>
      <c r="B65" s="881" t="s">
        <v>345</v>
      </c>
      <c r="C65" s="872"/>
      <c r="D65" s="872"/>
      <c r="E65" s="872"/>
      <c r="F65" s="879"/>
      <c r="G65" s="879"/>
      <c r="H65" s="879"/>
      <c r="I65" s="879"/>
      <c r="J65" s="879"/>
      <c r="K65" s="870"/>
    </row>
    <row r="66" spans="1:11" ht="41.25" customHeight="1" hidden="1">
      <c r="A66" s="870"/>
      <c r="B66" s="881" t="s">
        <v>346</v>
      </c>
      <c r="C66" s="872"/>
      <c r="D66" s="872"/>
      <c r="E66" s="872"/>
      <c r="F66" s="879"/>
      <c r="G66" s="879"/>
      <c r="H66" s="879"/>
      <c r="I66" s="879"/>
      <c r="J66" s="879"/>
      <c r="K66" s="870"/>
    </row>
    <row r="67" spans="1:11" ht="49.5" hidden="1">
      <c r="A67" s="870"/>
      <c r="B67" s="881" t="s">
        <v>347</v>
      </c>
      <c r="C67" s="872" t="s">
        <v>308</v>
      </c>
      <c r="D67" s="872"/>
      <c r="E67" s="872"/>
      <c r="F67" s="879"/>
      <c r="G67" s="879"/>
      <c r="H67" s="879"/>
      <c r="I67" s="879"/>
      <c r="J67" s="879"/>
      <c r="K67" s="870"/>
    </row>
    <row r="68" spans="1:11" ht="45.75" customHeight="1">
      <c r="A68" s="870"/>
      <c r="B68" s="881" t="s">
        <v>304</v>
      </c>
      <c r="C68" s="872" t="s">
        <v>324</v>
      </c>
      <c r="D68" s="1061">
        <v>67.4</v>
      </c>
      <c r="E68" s="1061">
        <v>67.4</v>
      </c>
      <c r="F68" s="1102">
        <v>68.9</v>
      </c>
      <c r="G68" s="1102">
        <v>70.4</v>
      </c>
      <c r="H68" s="1102">
        <v>71.9</v>
      </c>
      <c r="I68" s="1102">
        <v>73.4</v>
      </c>
      <c r="J68" s="1102">
        <v>75</v>
      </c>
      <c r="K68" s="1103">
        <v>75</v>
      </c>
    </row>
    <row r="69" spans="1:11" ht="33">
      <c r="A69" s="870"/>
      <c r="B69" s="881" t="s">
        <v>299</v>
      </c>
      <c r="C69" s="872" t="s">
        <v>311</v>
      </c>
      <c r="D69" s="885">
        <v>77.5</v>
      </c>
      <c r="E69" s="873">
        <v>75.5</v>
      </c>
      <c r="F69" s="879">
        <v>78</v>
      </c>
      <c r="G69" s="879">
        <v>78.5</v>
      </c>
      <c r="H69" s="879">
        <v>79</v>
      </c>
      <c r="I69" s="883" t="s">
        <v>362</v>
      </c>
      <c r="J69" s="879">
        <v>80</v>
      </c>
      <c r="K69" s="879">
        <v>80</v>
      </c>
    </row>
    <row r="70" spans="1:11" ht="42" customHeight="1">
      <c r="A70" s="870"/>
      <c r="B70" s="881" t="s">
        <v>300</v>
      </c>
      <c r="C70" s="872" t="s">
        <v>311</v>
      </c>
      <c r="D70" s="885">
        <v>3.3</v>
      </c>
      <c r="E70" s="873">
        <v>3.3</v>
      </c>
      <c r="F70" s="879">
        <v>4.5</v>
      </c>
      <c r="G70" s="879">
        <v>5.8</v>
      </c>
      <c r="H70" s="879">
        <v>7</v>
      </c>
      <c r="I70" s="879">
        <v>8</v>
      </c>
      <c r="J70" s="879">
        <v>10</v>
      </c>
      <c r="K70" s="879">
        <v>10</v>
      </c>
    </row>
    <row r="71" spans="1:11" ht="42.75" customHeight="1" hidden="1">
      <c r="A71" s="870"/>
      <c r="B71" s="881" t="s">
        <v>305</v>
      </c>
      <c r="C71" s="872" t="s">
        <v>312</v>
      </c>
      <c r="D71" s="872"/>
      <c r="E71" s="872">
        <v>13.3</v>
      </c>
      <c r="F71" s="879"/>
      <c r="G71" s="879"/>
      <c r="H71" s="879"/>
      <c r="I71" s="879"/>
      <c r="J71" s="879"/>
      <c r="K71" s="870"/>
    </row>
    <row r="72" spans="1:11" ht="28.5" customHeight="1" hidden="1">
      <c r="A72" s="870"/>
      <c r="B72" s="378" t="s">
        <v>214</v>
      </c>
      <c r="C72" s="376"/>
      <c r="D72" s="376"/>
      <c r="E72" s="376"/>
      <c r="F72" s="380"/>
      <c r="G72" s="380"/>
      <c r="H72" s="380"/>
      <c r="I72" s="380"/>
      <c r="J72" s="380"/>
      <c r="K72" s="377"/>
    </row>
    <row r="73" spans="1:11" ht="42.75" customHeight="1" hidden="1">
      <c r="A73" s="870"/>
      <c r="B73" s="881" t="s">
        <v>306</v>
      </c>
      <c r="C73" s="872" t="s">
        <v>312</v>
      </c>
      <c r="D73" s="872"/>
      <c r="E73" s="872">
        <v>20.9</v>
      </c>
      <c r="F73" s="879"/>
      <c r="G73" s="879"/>
      <c r="H73" s="879"/>
      <c r="I73" s="879"/>
      <c r="J73" s="879"/>
      <c r="K73" s="870"/>
    </row>
    <row r="74" spans="1:11" ht="42.75" customHeight="1" hidden="1">
      <c r="A74" s="870"/>
      <c r="B74" s="881" t="s">
        <v>307</v>
      </c>
      <c r="C74" s="872" t="s">
        <v>312</v>
      </c>
      <c r="D74" s="872"/>
      <c r="E74" s="873">
        <v>11.35</v>
      </c>
      <c r="F74" s="879"/>
      <c r="G74" s="879"/>
      <c r="H74" s="879"/>
      <c r="I74" s="879"/>
      <c r="J74" s="879"/>
      <c r="K74" s="870"/>
    </row>
    <row r="75" spans="1:11" s="363" customFormat="1" ht="56.25" customHeight="1">
      <c r="A75" s="374" t="s">
        <v>15</v>
      </c>
      <c r="B75" s="375" t="s">
        <v>319</v>
      </c>
      <c r="C75" s="382"/>
      <c r="D75" s="372"/>
      <c r="E75" s="372"/>
      <c r="F75" s="373"/>
      <c r="G75" s="373"/>
      <c r="H75" s="373"/>
      <c r="I75" s="373"/>
      <c r="J75" s="373"/>
      <c r="K75" s="374"/>
    </row>
    <row r="76" spans="1:11" ht="29.25" customHeight="1">
      <c r="A76" s="382"/>
      <c r="B76" s="381" t="s">
        <v>341</v>
      </c>
      <c r="C76" s="382" t="s">
        <v>5</v>
      </c>
      <c r="D76" s="382">
        <v>41.84</v>
      </c>
      <c r="E76" s="407">
        <v>41.84</v>
      </c>
      <c r="F76" s="1082">
        <v>41.92</v>
      </c>
      <c r="G76" s="1082">
        <v>42.14</v>
      </c>
      <c r="H76" s="1082">
        <v>42.67</v>
      </c>
      <c r="I76" s="1082">
        <v>43.17</v>
      </c>
      <c r="J76" s="1083">
        <v>45</v>
      </c>
      <c r="K76" s="868">
        <v>46.2</v>
      </c>
    </row>
    <row r="77" spans="1:14" ht="51" customHeight="1">
      <c r="A77" s="886"/>
      <c r="B77" s="381" t="s">
        <v>320</v>
      </c>
      <c r="C77" s="886" t="s">
        <v>5</v>
      </c>
      <c r="D77" s="1085">
        <v>61.18</v>
      </c>
      <c r="E77" s="1082">
        <f>D77</f>
        <v>61.18</v>
      </c>
      <c r="F77" s="1291">
        <f>+E77+1.3</f>
        <v>62.48</v>
      </c>
      <c r="G77" s="1291">
        <f>+F77+1.3</f>
        <v>63.779999999999994</v>
      </c>
      <c r="H77" s="1291">
        <f>+G77+1.3</f>
        <v>65.08</v>
      </c>
      <c r="I77" s="1291">
        <f>+H77+1.3</f>
        <v>66.38</v>
      </c>
      <c r="J77" s="1291">
        <v>67.77</v>
      </c>
      <c r="K77" s="879">
        <f>J77</f>
        <v>67.77</v>
      </c>
      <c r="M77" s="364">
        <f>+J77-E77</f>
        <v>6.589999999999996</v>
      </c>
      <c r="N77" s="364">
        <f>+J77-I77</f>
        <v>1.3900000000000006</v>
      </c>
    </row>
    <row r="78" spans="1:13" ht="35.25" customHeight="1">
      <c r="A78" s="886"/>
      <c r="B78" s="881" t="s">
        <v>321</v>
      </c>
      <c r="C78" s="886" t="s">
        <v>5</v>
      </c>
      <c r="D78" s="886">
        <v>96.09</v>
      </c>
      <c r="E78" s="887">
        <v>97.49</v>
      </c>
      <c r="F78" s="879">
        <v>98.1</v>
      </c>
      <c r="G78" s="879">
        <v>98.6</v>
      </c>
      <c r="H78" s="879">
        <v>99</v>
      </c>
      <c r="I78" s="879">
        <v>99.1</v>
      </c>
      <c r="J78" s="879">
        <v>99.5</v>
      </c>
      <c r="K78" s="879">
        <f>J78</f>
        <v>99.5</v>
      </c>
      <c r="M78" s="364">
        <f>+M77/5</f>
        <v>1.3179999999999992</v>
      </c>
    </row>
    <row r="79" spans="1:11" ht="87.75" customHeight="1" hidden="1">
      <c r="A79" s="886"/>
      <c r="B79" s="881" t="s">
        <v>301</v>
      </c>
      <c r="C79" s="886" t="s">
        <v>5</v>
      </c>
      <c r="D79" s="886"/>
      <c r="E79" s="886"/>
      <c r="F79" s="879"/>
      <c r="G79" s="879"/>
      <c r="H79" s="879"/>
      <c r="I79" s="879"/>
      <c r="J79" s="879"/>
      <c r="K79" s="870"/>
    </row>
    <row r="80" spans="1:11" ht="34.5" customHeight="1">
      <c r="A80" s="886"/>
      <c r="B80" s="881" t="s">
        <v>323</v>
      </c>
      <c r="C80" s="886" t="s">
        <v>5</v>
      </c>
      <c r="D80" s="886">
        <v>30.98</v>
      </c>
      <c r="E80" s="887">
        <v>57.14</v>
      </c>
      <c r="F80" s="884">
        <v>60.2</v>
      </c>
      <c r="G80" s="884">
        <v>61</v>
      </c>
      <c r="H80" s="884">
        <v>62.6</v>
      </c>
      <c r="I80" s="884">
        <v>65</v>
      </c>
      <c r="J80" s="884">
        <v>65.1</v>
      </c>
      <c r="K80" s="879">
        <f>J80</f>
        <v>65.1</v>
      </c>
    </row>
    <row r="81" spans="1:11" ht="49.5" customHeight="1">
      <c r="A81" s="886"/>
      <c r="B81" s="1104" t="s">
        <v>722</v>
      </c>
      <c r="C81" s="1085" t="s">
        <v>5</v>
      </c>
      <c r="D81" s="1105">
        <v>27</v>
      </c>
      <c r="E81" s="1106">
        <v>27</v>
      </c>
      <c r="F81" s="1102">
        <v>30</v>
      </c>
      <c r="G81" s="1102">
        <v>40</v>
      </c>
      <c r="H81" s="1102">
        <v>60</v>
      </c>
      <c r="I81" s="1102">
        <v>80</v>
      </c>
      <c r="J81" s="1102">
        <v>100</v>
      </c>
      <c r="K81" s="1102">
        <f>J81</f>
        <v>100</v>
      </c>
    </row>
    <row r="82" spans="1:11" ht="44.25" customHeight="1">
      <c r="A82" s="869"/>
      <c r="B82" s="888"/>
      <c r="C82" s="889"/>
      <c r="D82" s="889"/>
      <c r="E82" s="889"/>
      <c r="F82" s="890"/>
      <c r="G82" s="890"/>
      <c r="H82" s="890"/>
      <c r="I82" s="890"/>
      <c r="J82" s="890"/>
      <c r="K82" s="869"/>
    </row>
    <row r="83" spans="1:12" s="1090" customFormat="1" ht="47.25" customHeight="1">
      <c r="A83" s="1086"/>
      <c r="B83" s="1087" t="s">
        <v>716</v>
      </c>
      <c r="C83" s="1088"/>
      <c r="D83" s="1088"/>
      <c r="E83" s="1089">
        <v>20.935</v>
      </c>
      <c r="F83" s="1090">
        <v>20.932</v>
      </c>
      <c r="G83" s="1090">
        <v>20.913</v>
      </c>
      <c r="H83" s="1090">
        <v>20.937</v>
      </c>
      <c r="I83" s="1090">
        <v>20.943</v>
      </c>
      <c r="J83" s="1090">
        <v>20.948</v>
      </c>
      <c r="K83" s="1091">
        <v>20.935</v>
      </c>
      <c r="L83" s="1086"/>
    </row>
    <row r="84" spans="1:11" ht="44.25" customHeight="1">
      <c r="A84" s="869"/>
      <c r="B84" s="888"/>
      <c r="C84" s="889"/>
      <c r="D84" s="889"/>
      <c r="E84" s="889"/>
      <c r="F84" s="890"/>
      <c r="G84" s="890">
        <f>G83/F83*100</f>
        <v>99.90922988725397</v>
      </c>
      <c r="H84" s="890">
        <f>H83/G83*100</f>
        <v>100.11476115334959</v>
      </c>
      <c r="I84" s="890">
        <f>I83/H83*100</f>
        <v>100.02865740077375</v>
      </c>
      <c r="J84" s="890">
        <f>J83/I83*100</f>
        <v>100.02387432555028</v>
      </c>
      <c r="K84" s="869">
        <f>K83/J83*100</f>
        <v>99.93794156960091</v>
      </c>
    </row>
    <row r="85" spans="1:11" ht="44.25" customHeight="1">
      <c r="A85" s="869"/>
      <c r="B85" s="888"/>
      <c r="C85" s="889"/>
      <c r="D85" s="889"/>
      <c r="E85" s="889"/>
      <c r="F85" s="890"/>
      <c r="G85" s="890"/>
      <c r="H85" s="890"/>
      <c r="I85" s="890"/>
      <c r="J85" s="890"/>
      <c r="K85" s="869"/>
    </row>
    <row r="86" spans="1:11" ht="44.25" customHeight="1">
      <c r="A86" s="869"/>
      <c r="B86" s="888"/>
      <c r="C86" s="889"/>
      <c r="D86" s="889"/>
      <c r="E86" s="889"/>
      <c r="F86" s="890"/>
      <c r="G86" s="890"/>
      <c r="H86" s="890"/>
      <c r="I86" s="890"/>
      <c r="J86" s="890"/>
      <c r="K86" s="869"/>
    </row>
    <row r="87" spans="1:11" ht="44.25" customHeight="1">
      <c r="A87" s="869"/>
      <c r="B87" s="888"/>
      <c r="C87" s="889"/>
      <c r="D87" s="889"/>
      <c r="E87" s="889"/>
      <c r="F87" s="890"/>
      <c r="G87" s="890"/>
      <c r="H87" s="890"/>
      <c r="I87" s="890"/>
      <c r="J87" s="890"/>
      <c r="K87" s="869"/>
    </row>
    <row r="88" spans="1:11" ht="44.25" customHeight="1">
      <c r="A88" s="869"/>
      <c r="B88" s="888"/>
      <c r="C88" s="889"/>
      <c r="D88" s="889"/>
      <c r="E88" s="889"/>
      <c r="F88" s="890"/>
      <c r="G88" s="890"/>
      <c r="H88" s="890"/>
      <c r="I88" s="890"/>
      <c r="J88" s="890"/>
      <c r="K88" s="869"/>
    </row>
    <row r="89" spans="1:11" ht="44.25" customHeight="1">
      <c r="A89" s="869"/>
      <c r="B89" s="888"/>
      <c r="C89" s="889"/>
      <c r="D89" s="889"/>
      <c r="E89" s="889"/>
      <c r="F89" s="890"/>
      <c r="G89" s="890"/>
      <c r="H89" s="890"/>
      <c r="I89" s="890"/>
      <c r="J89" s="890"/>
      <c r="K89" s="869"/>
    </row>
    <row r="90" spans="1:11" ht="44.25" customHeight="1">
      <c r="A90" s="869"/>
      <c r="B90" s="888"/>
      <c r="C90" s="889"/>
      <c r="D90" s="889"/>
      <c r="E90" s="889"/>
      <c r="F90" s="890"/>
      <c r="G90" s="890"/>
      <c r="H90" s="890"/>
      <c r="I90" s="890"/>
      <c r="J90" s="890"/>
      <c r="K90" s="869"/>
    </row>
    <row r="91" spans="1:11" ht="44.25" customHeight="1">
      <c r="A91" s="869"/>
      <c r="B91" s="888"/>
      <c r="C91" s="889"/>
      <c r="D91" s="889"/>
      <c r="E91" s="889"/>
      <c r="F91" s="890"/>
      <c r="G91" s="890"/>
      <c r="H91" s="890"/>
      <c r="I91" s="890"/>
      <c r="J91" s="890"/>
      <c r="K91" s="869"/>
    </row>
    <row r="92" spans="1:11" ht="44.25" customHeight="1">
      <c r="A92" s="869"/>
      <c r="B92" s="888"/>
      <c r="C92" s="889"/>
      <c r="D92" s="889"/>
      <c r="E92" s="889"/>
      <c r="F92" s="890"/>
      <c r="G92" s="890"/>
      <c r="H92" s="890"/>
      <c r="I92" s="890"/>
      <c r="J92" s="890"/>
      <c r="K92" s="869"/>
    </row>
    <row r="93" spans="1:11" ht="44.25" customHeight="1">
      <c r="A93" s="869"/>
      <c r="B93" s="888"/>
      <c r="C93" s="889"/>
      <c r="D93" s="889"/>
      <c r="E93" s="889"/>
      <c r="F93" s="890"/>
      <c r="G93" s="890"/>
      <c r="H93" s="890"/>
      <c r="I93" s="890"/>
      <c r="J93" s="890"/>
      <c r="K93" s="869"/>
    </row>
    <row r="94" spans="1:11" ht="44.25" customHeight="1">
      <c r="A94" s="869"/>
      <c r="B94" s="888"/>
      <c r="C94" s="889"/>
      <c r="D94" s="889"/>
      <c r="E94" s="889"/>
      <c r="F94" s="890"/>
      <c r="G94" s="890"/>
      <c r="H94" s="890"/>
      <c r="I94" s="890"/>
      <c r="J94" s="890"/>
      <c r="K94" s="869"/>
    </row>
    <row r="95" spans="1:11" ht="44.25" customHeight="1">
      <c r="A95" s="869"/>
      <c r="B95" s="888"/>
      <c r="C95" s="889"/>
      <c r="D95" s="889"/>
      <c r="E95" s="889"/>
      <c r="F95" s="890"/>
      <c r="G95" s="890"/>
      <c r="H95" s="890"/>
      <c r="I95" s="890"/>
      <c r="J95" s="890"/>
      <c r="K95" s="869"/>
    </row>
    <row r="96" spans="1:11" ht="44.25" customHeight="1">
      <c r="A96" s="869"/>
      <c r="B96" s="888"/>
      <c r="C96" s="889"/>
      <c r="D96" s="889"/>
      <c r="E96" s="889"/>
      <c r="F96" s="890"/>
      <c r="G96" s="890"/>
      <c r="H96" s="890"/>
      <c r="I96" s="890"/>
      <c r="J96" s="890"/>
      <c r="K96" s="869"/>
    </row>
    <row r="97" spans="1:11" ht="44.25" customHeight="1">
      <c r="A97" s="869"/>
      <c r="B97" s="888"/>
      <c r="C97" s="889"/>
      <c r="D97" s="889"/>
      <c r="E97" s="889"/>
      <c r="F97" s="890"/>
      <c r="G97" s="890"/>
      <c r="H97" s="890"/>
      <c r="I97" s="890"/>
      <c r="J97" s="890"/>
      <c r="K97" s="869"/>
    </row>
    <row r="98" spans="1:11" ht="44.25" customHeight="1">
      <c r="A98" s="869"/>
      <c r="B98" s="888"/>
      <c r="C98" s="889"/>
      <c r="D98" s="889"/>
      <c r="E98" s="889"/>
      <c r="F98" s="890"/>
      <c r="G98" s="890"/>
      <c r="H98" s="890"/>
      <c r="I98" s="890"/>
      <c r="J98" s="890"/>
      <c r="K98" s="869"/>
    </row>
    <row r="99" spans="1:11" ht="44.25" customHeight="1">
      <c r="A99" s="869"/>
      <c r="B99" s="888"/>
      <c r="C99" s="889"/>
      <c r="D99" s="889"/>
      <c r="E99" s="889"/>
      <c r="F99" s="890"/>
      <c r="G99" s="890"/>
      <c r="H99" s="890"/>
      <c r="I99" s="890"/>
      <c r="J99" s="890"/>
      <c r="K99" s="869"/>
    </row>
    <row r="100" spans="1:11" ht="44.25" customHeight="1">
      <c r="A100" s="869"/>
      <c r="B100" s="888"/>
      <c r="C100" s="889"/>
      <c r="D100" s="889"/>
      <c r="E100" s="889"/>
      <c r="F100" s="890"/>
      <c r="G100" s="890"/>
      <c r="H100" s="890"/>
      <c r="I100" s="890"/>
      <c r="J100" s="890"/>
      <c r="K100" s="869"/>
    </row>
    <row r="101" spans="1:11" ht="44.25" customHeight="1">
      <c r="A101" s="869"/>
      <c r="B101" s="888"/>
      <c r="C101" s="889"/>
      <c r="D101" s="889"/>
      <c r="E101" s="889"/>
      <c r="F101" s="890"/>
      <c r="G101" s="890"/>
      <c r="H101" s="890"/>
      <c r="I101" s="890"/>
      <c r="J101" s="890"/>
      <c r="K101" s="869"/>
    </row>
    <row r="102" spans="1:11" ht="44.25" customHeight="1">
      <c r="A102" s="869"/>
      <c r="B102" s="888"/>
      <c r="C102" s="889"/>
      <c r="D102" s="889"/>
      <c r="E102" s="889"/>
      <c r="F102" s="890"/>
      <c r="G102" s="890"/>
      <c r="H102" s="890"/>
      <c r="I102" s="890"/>
      <c r="J102" s="890"/>
      <c r="K102" s="869"/>
    </row>
    <row r="103" spans="1:11" ht="44.25" customHeight="1">
      <c r="A103" s="869"/>
      <c r="B103" s="888"/>
      <c r="C103" s="889"/>
      <c r="D103" s="889"/>
      <c r="E103" s="889"/>
      <c r="F103" s="890"/>
      <c r="G103" s="890"/>
      <c r="H103" s="890"/>
      <c r="I103" s="890"/>
      <c r="J103" s="890"/>
      <c r="K103" s="869"/>
    </row>
    <row r="104" spans="1:11" ht="44.25" customHeight="1">
      <c r="A104" s="869"/>
      <c r="B104" s="888"/>
      <c r="C104" s="889"/>
      <c r="D104" s="889"/>
      <c r="E104" s="889"/>
      <c r="F104" s="890"/>
      <c r="G104" s="890"/>
      <c r="H104" s="890"/>
      <c r="I104" s="890"/>
      <c r="J104" s="890"/>
      <c r="K104" s="869"/>
    </row>
    <row r="105" spans="1:11" ht="44.25" customHeight="1">
      <c r="A105" s="869"/>
      <c r="B105" s="888"/>
      <c r="C105" s="889"/>
      <c r="D105" s="889"/>
      <c r="E105" s="889"/>
      <c r="F105" s="890"/>
      <c r="G105" s="890"/>
      <c r="H105" s="890"/>
      <c r="I105" s="890"/>
      <c r="J105" s="890"/>
      <c r="K105" s="869"/>
    </row>
    <row r="106" spans="1:11" ht="44.25" customHeight="1">
      <c r="A106" s="869"/>
      <c r="B106" s="888"/>
      <c r="C106" s="889"/>
      <c r="D106" s="889"/>
      <c r="E106" s="889"/>
      <c r="F106" s="890"/>
      <c r="G106" s="890"/>
      <c r="H106" s="890"/>
      <c r="I106" s="890"/>
      <c r="J106" s="890"/>
      <c r="K106" s="869"/>
    </row>
    <row r="107" spans="1:11" ht="44.25" customHeight="1">
      <c r="A107" s="869"/>
      <c r="B107" s="888"/>
      <c r="C107" s="889"/>
      <c r="D107" s="889"/>
      <c r="E107" s="889"/>
      <c r="F107" s="890"/>
      <c r="G107" s="890"/>
      <c r="H107" s="890"/>
      <c r="I107" s="890"/>
      <c r="J107" s="890"/>
      <c r="K107" s="869"/>
    </row>
    <row r="108" spans="1:11" ht="44.25" customHeight="1">
      <c r="A108" s="869"/>
      <c r="B108" s="888"/>
      <c r="C108" s="889"/>
      <c r="D108" s="889"/>
      <c r="E108" s="889"/>
      <c r="F108" s="890"/>
      <c r="G108" s="890"/>
      <c r="H108" s="890"/>
      <c r="I108" s="890"/>
      <c r="J108" s="890"/>
      <c r="K108" s="869"/>
    </row>
    <row r="109" spans="1:11" ht="44.25" customHeight="1">
      <c r="A109" s="869"/>
      <c r="B109" s="888"/>
      <c r="C109" s="889"/>
      <c r="D109" s="889"/>
      <c r="E109" s="889"/>
      <c r="F109" s="890"/>
      <c r="G109" s="890"/>
      <c r="H109" s="890"/>
      <c r="I109" s="890"/>
      <c r="J109" s="890"/>
      <c r="K109" s="869"/>
    </row>
    <row r="110" spans="1:11" ht="44.25" customHeight="1">
      <c r="A110" s="869"/>
      <c r="B110" s="888"/>
      <c r="C110" s="889"/>
      <c r="D110" s="889"/>
      <c r="E110" s="889"/>
      <c r="F110" s="890"/>
      <c r="G110" s="890"/>
      <c r="H110" s="890"/>
      <c r="I110" s="890"/>
      <c r="J110" s="890"/>
      <c r="K110" s="869"/>
    </row>
    <row r="111" spans="1:11" ht="44.25" customHeight="1">
      <c r="A111" s="869"/>
      <c r="B111" s="888"/>
      <c r="C111" s="889"/>
      <c r="D111" s="889"/>
      <c r="E111" s="889"/>
      <c r="F111" s="890"/>
      <c r="G111" s="890"/>
      <c r="H111" s="890"/>
      <c r="I111" s="890"/>
      <c r="J111" s="890"/>
      <c r="K111" s="869"/>
    </row>
    <row r="112" spans="1:11" ht="44.25" customHeight="1">
      <c r="A112" s="869"/>
      <c r="B112" s="888"/>
      <c r="C112" s="889"/>
      <c r="D112" s="889"/>
      <c r="E112" s="889"/>
      <c r="F112" s="890"/>
      <c r="G112" s="890"/>
      <c r="H112" s="890"/>
      <c r="I112" s="890"/>
      <c r="J112" s="890"/>
      <c r="K112" s="869"/>
    </row>
    <row r="113" spans="1:11" ht="44.25" customHeight="1">
      <c r="A113" s="869"/>
      <c r="B113" s="888"/>
      <c r="C113" s="889"/>
      <c r="D113" s="889"/>
      <c r="E113" s="889"/>
      <c r="F113" s="890"/>
      <c r="G113" s="890"/>
      <c r="H113" s="890"/>
      <c r="I113" s="890"/>
      <c r="J113" s="890"/>
      <c r="K113" s="869"/>
    </row>
    <row r="114" spans="1:11" ht="44.25" customHeight="1">
      <c r="A114" s="869"/>
      <c r="B114" s="888"/>
      <c r="C114" s="889"/>
      <c r="D114" s="889"/>
      <c r="E114" s="889"/>
      <c r="F114" s="890"/>
      <c r="G114" s="890"/>
      <c r="H114" s="890"/>
      <c r="I114" s="890"/>
      <c r="J114" s="890"/>
      <c r="K114" s="869"/>
    </row>
    <row r="115" spans="1:11" ht="44.25" customHeight="1">
      <c r="A115" s="869"/>
      <c r="B115" s="888"/>
      <c r="C115" s="889"/>
      <c r="D115" s="889"/>
      <c r="E115" s="889"/>
      <c r="F115" s="890"/>
      <c r="G115" s="890"/>
      <c r="H115" s="890"/>
      <c r="I115" s="890"/>
      <c r="J115" s="890"/>
      <c r="K115" s="869"/>
    </row>
    <row r="116" spans="1:11" ht="44.25" customHeight="1">
      <c r="A116" s="869"/>
      <c r="B116" s="888"/>
      <c r="C116" s="889"/>
      <c r="D116" s="889"/>
      <c r="E116" s="889"/>
      <c r="F116" s="890"/>
      <c r="G116" s="890"/>
      <c r="H116" s="890"/>
      <c r="I116" s="890"/>
      <c r="J116" s="890"/>
      <c r="K116" s="869"/>
    </row>
    <row r="117" spans="1:11" ht="44.25" customHeight="1">
      <c r="A117" s="869"/>
      <c r="B117" s="888"/>
      <c r="C117" s="889"/>
      <c r="D117" s="889"/>
      <c r="E117" s="889"/>
      <c r="F117" s="890"/>
      <c r="G117" s="890"/>
      <c r="H117" s="890"/>
      <c r="I117" s="890"/>
      <c r="J117" s="890"/>
      <c r="K117" s="869"/>
    </row>
    <row r="118" spans="1:11" ht="44.25" customHeight="1">
      <c r="A118" s="869"/>
      <c r="B118" s="888"/>
      <c r="C118" s="889"/>
      <c r="D118" s="889"/>
      <c r="E118" s="889"/>
      <c r="F118" s="890"/>
      <c r="G118" s="890"/>
      <c r="H118" s="890"/>
      <c r="I118" s="890"/>
      <c r="J118" s="890"/>
      <c r="K118" s="869"/>
    </row>
    <row r="119" spans="1:11" ht="44.25" customHeight="1">
      <c r="A119" s="869"/>
      <c r="B119" s="888"/>
      <c r="C119" s="889"/>
      <c r="D119" s="889"/>
      <c r="E119" s="889"/>
      <c r="F119" s="890"/>
      <c r="G119" s="890"/>
      <c r="H119" s="890"/>
      <c r="I119" s="890"/>
      <c r="J119" s="890"/>
      <c r="K119" s="869"/>
    </row>
    <row r="120" spans="1:11" ht="44.25" customHeight="1">
      <c r="A120" s="869"/>
      <c r="B120" s="888"/>
      <c r="C120" s="889"/>
      <c r="D120" s="889"/>
      <c r="E120" s="889"/>
      <c r="F120" s="890"/>
      <c r="G120" s="890"/>
      <c r="H120" s="890"/>
      <c r="I120" s="890"/>
      <c r="J120" s="890"/>
      <c r="K120" s="869"/>
    </row>
    <row r="121" spans="1:11" ht="44.25" customHeight="1">
      <c r="A121" s="869"/>
      <c r="B121" s="888"/>
      <c r="C121" s="889"/>
      <c r="D121" s="889"/>
      <c r="E121" s="889"/>
      <c r="F121" s="890"/>
      <c r="G121" s="890"/>
      <c r="H121" s="890"/>
      <c r="I121" s="890"/>
      <c r="J121" s="890"/>
      <c r="K121" s="869"/>
    </row>
    <row r="122" spans="1:11" ht="44.25" customHeight="1">
      <c r="A122" s="869"/>
      <c r="B122" s="888"/>
      <c r="C122" s="889"/>
      <c r="D122" s="889"/>
      <c r="E122" s="889"/>
      <c r="F122" s="890"/>
      <c r="G122" s="890"/>
      <c r="H122" s="890"/>
      <c r="I122" s="890"/>
      <c r="J122" s="890"/>
      <c r="K122" s="869"/>
    </row>
    <row r="123" spans="1:11" ht="44.25" customHeight="1">
      <c r="A123" s="869"/>
      <c r="B123" s="888"/>
      <c r="C123" s="889"/>
      <c r="D123" s="889"/>
      <c r="E123" s="889"/>
      <c r="F123" s="890"/>
      <c r="G123" s="890"/>
      <c r="H123" s="890"/>
      <c r="I123" s="890"/>
      <c r="J123" s="890"/>
      <c r="K123" s="869"/>
    </row>
    <row r="124" spans="1:11" ht="44.25" customHeight="1">
      <c r="A124" s="869"/>
      <c r="B124" s="888"/>
      <c r="C124" s="889"/>
      <c r="D124" s="889"/>
      <c r="E124" s="889"/>
      <c r="F124" s="890"/>
      <c r="G124" s="890"/>
      <c r="H124" s="890"/>
      <c r="I124" s="890"/>
      <c r="J124" s="890"/>
      <c r="K124" s="869"/>
    </row>
    <row r="125" spans="1:11" ht="44.25" customHeight="1">
      <c r="A125" s="869"/>
      <c r="B125" s="888"/>
      <c r="C125" s="889"/>
      <c r="D125" s="889"/>
      <c r="E125" s="889"/>
      <c r="F125" s="890"/>
      <c r="G125" s="890"/>
      <c r="H125" s="890"/>
      <c r="I125" s="890"/>
      <c r="J125" s="890"/>
      <c r="K125" s="869"/>
    </row>
    <row r="126" spans="1:11" ht="44.25" customHeight="1">
      <c r="A126" s="869"/>
      <c r="B126" s="888"/>
      <c r="C126" s="889"/>
      <c r="D126" s="889"/>
      <c r="E126" s="889"/>
      <c r="F126" s="890"/>
      <c r="G126" s="890"/>
      <c r="H126" s="890"/>
      <c r="I126" s="890"/>
      <c r="J126" s="890"/>
      <c r="K126" s="869"/>
    </row>
    <row r="127" spans="1:11" ht="44.25" customHeight="1">
      <c r="A127" s="869"/>
      <c r="B127" s="888"/>
      <c r="C127" s="889"/>
      <c r="D127" s="889"/>
      <c r="E127" s="889"/>
      <c r="F127" s="890"/>
      <c r="G127" s="890"/>
      <c r="H127" s="890"/>
      <c r="I127" s="890"/>
      <c r="J127" s="890"/>
      <c r="K127" s="869"/>
    </row>
    <row r="128" spans="1:11" ht="44.25" customHeight="1">
      <c r="A128" s="869"/>
      <c r="B128" s="888"/>
      <c r="C128" s="889"/>
      <c r="D128" s="889"/>
      <c r="E128" s="889"/>
      <c r="F128" s="890"/>
      <c r="G128" s="890"/>
      <c r="H128" s="890"/>
      <c r="I128" s="890"/>
      <c r="J128" s="890"/>
      <c r="K128" s="869"/>
    </row>
    <row r="129" spans="1:11" ht="44.25" customHeight="1">
      <c r="A129" s="869"/>
      <c r="B129" s="888"/>
      <c r="C129" s="889"/>
      <c r="D129" s="889"/>
      <c r="E129" s="889"/>
      <c r="F129" s="890"/>
      <c r="G129" s="890"/>
      <c r="H129" s="890"/>
      <c r="I129" s="890"/>
      <c r="J129" s="890"/>
      <c r="K129" s="869"/>
    </row>
    <row r="130" spans="1:11" ht="44.25" customHeight="1">
      <c r="A130" s="869"/>
      <c r="B130" s="888"/>
      <c r="C130" s="889"/>
      <c r="D130" s="889"/>
      <c r="E130" s="889"/>
      <c r="F130" s="890"/>
      <c r="G130" s="890"/>
      <c r="H130" s="890"/>
      <c r="I130" s="890"/>
      <c r="J130" s="890"/>
      <c r="K130" s="869"/>
    </row>
    <row r="131" spans="1:11" ht="44.25" customHeight="1">
      <c r="A131" s="869"/>
      <c r="B131" s="888"/>
      <c r="C131" s="889"/>
      <c r="D131" s="889"/>
      <c r="E131" s="889"/>
      <c r="F131" s="890"/>
      <c r="G131" s="890"/>
      <c r="H131" s="890"/>
      <c r="I131" s="890"/>
      <c r="J131" s="890"/>
      <c r="K131" s="869"/>
    </row>
    <row r="132" spans="1:11" ht="44.25" customHeight="1">
      <c r="A132" s="869"/>
      <c r="B132" s="888"/>
      <c r="C132" s="889"/>
      <c r="D132" s="889"/>
      <c r="E132" s="889"/>
      <c r="F132" s="890"/>
      <c r="G132" s="890"/>
      <c r="H132" s="890"/>
      <c r="I132" s="890"/>
      <c r="J132" s="890"/>
      <c r="K132" s="869"/>
    </row>
    <row r="133" spans="1:11" ht="44.25" customHeight="1">
      <c r="A133" s="869"/>
      <c r="B133" s="888"/>
      <c r="C133" s="889"/>
      <c r="D133" s="889"/>
      <c r="E133" s="889"/>
      <c r="F133" s="890"/>
      <c r="G133" s="890"/>
      <c r="H133" s="890"/>
      <c r="I133" s="890"/>
      <c r="J133" s="890"/>
      <c r="K133" s="869"/>
    </row>
    <row r="134" spans="1:11" ht="44.25" customHeight="1">
      <c r="A134" s="869"/>
      <c r="B134" s="888"/>
      <c r="C134" s="889"/>
      <c r="D134" s="889"/>
      <c r="E134" s="889"/>
      <c r="F134" s="890"/>
      <c r="G134" s="890"/>
      <c r="H134" s="890"/>
      <c r="I134" s="890"/>
      <c r="J134" s="890"/>
      <c r="K134" s="869"/>
    </row>
    <row r="135" spans="1:11" ht="44.25" customHeight="1">
      <c r="A135" s="869"/>
      <c r="B135" s="888"/>
      <c r="C135" s="889"/>
      <c r="D135" s="889"/>
      <c r="E135" s="889"/>
      <c r="F135" s="890"/>
      <c r="G135" s="890"/>
      <c r="H135" s="890"/>
      <c r="I135" s="890"/>
      <c r="J135" s="890"/>
      <c r="K135" s="869"/>
    </row>
    <row r="136" spans="1:11" ht="44.25" customHeight="1">
      <c r="A136" s="869"/>
      <c r="B136" s="888"/>
      <c r="C136" s="889"/>
      <c r="D136" s="889"/>
      <c r="E136" s="889"/>
      <c r="F136" s="890"/>
      <c r="G136" s="890"/>
      <c r="H136" s="890"/>
      <c r="I136" s="890"/>
      <c r="J136" s="890"/>
      <c r="K136" s="869"/>
    </row>
    <row r="137" spans="1:11" ht="44.25" customHeight="1">
      <c r="A137" s="869"/>
      <c r="B137" s="888"/>
      <c r="C137" s="889"/>
      <c r="D137" s="889"/>
      <c r="E137" s="889"/>
      <c r="F137" s="890"/>
      <c r="G137" s="890"/>
      <c r="H137" s="890"/>
      <c r="I137" s="890"/>
      <c r="J137" s="890"/>
      <c r="K137" s="869"/>
    </row>
    <row r="138" spans="1:11" ht="44.25" customHeight="1">
      <c r="A138" s="869"/>
      <c r="B138" s="888"/>
      <c r="C138" s="889"/>
      <c r="D138" s="889"/>
      <c r="E138" s="889"/>
      <c r="F138" s="890"/>
      <c r="G138" s="890"/>
      <c r="H138" s="890"/>
      <c r="I138" s="890"/>
      <c r="J138" s="890"/>
      <c r="K138" s="869"/>
    </row>
    <row r="139" spans="1:11" ht="44.25" customHeight="1">
      <c r="A139" s="869"/>
      <c r="B139" s="888"/>
      <c r="C139" s="889"/>
      <c r="D139" s="889"/>
      <c r="E139" s="889"/>
      <c r="F139" s="890"/>
      <c r="G139" s="890"/>
      <c r="H139" s="890"/>
      <c r="I139" s="890"/>
      <c r="J139" s="890"/>
      <c r="K139" s="869"/>
    </row>
    <row r="140" spans="1:11" ht="44.25" customHeight="1">
      <c r="A140" s="869"/>
      <c r="B140" s="888"/>
      <c r="C140" s="889"/>
      <c r="D140" s="889"/>
      <c r="E140" s="889"/>
      <c r="F140" s="890"/>
      <c r="G140" s="890"/>
      <c r="H140" s="890"/>
      <c r="I140" s="890"/>
      <c r="J140" s="890"/>
      <c r="K140" s="869"/>
    </row>
    <row r="141" spans="1:11" ht="44.25" customHeight="1">
      <c r="A141" s="869"/>
      <c r="B141" s="888"/>
      <c r="C141" s="889"/>
      <c r="D141" s="889"/>
      <c r="E141" s="889"/>
      <c r="F141" s="890"/>
      <c r="G141" s="890"/>
      <c r="H141" s="890"/>
      <c r="I141" s="890"/>
      <c r="J141" s="890"/>
      <c r="K141" s="869"/>
    </row>
    <row r="142" spans="1:11" ht="44.25" customHeight="1">
      <c r="A142" s="869"/>
      <c r="B142" s="888"/>
      <c r="C142" s="889"/>
      <c r="D142" s="889"/>
      <c r="E142" s="889"/>
      <c r="F142" s="890"/>
      <c r="G142" s="890"/>
      <c r="H142" s="890"/>
      <c r="I142" s="890"/>
      <c r="J142" s="890"/>
      <c r="K142" s="869"/>
    </row>
    <row r="143" spans="1:11" ht="44.25" customHeight="1">
      <c r="A143" s="869"/>
      <c r="B143" s="888"/>
      <c r="C143" s="889"/>
      <c r="D143" s="889"/>
      <c r="E143" s="889"/>
      <c r="F143" s="890"/>
      <c r="G143" s="890"/>
      <c r="H143" s="890"/>
      <c r="I143" s="890"/>
      <c r="J143" s="890"/>
      <c r="K143" s="869"/>
    </row>
    <row r="144" spans="1:11" ht="44.25" customHeight="1">
      <c r="A144" s="869"/>
      <c r="B144" s="888"/>
      <c r="C144" s="889"/>
      <c r="D144" s="889"/>
      <c r="E144" s="889"/>
      <c r="F144" s="890"/>
      <c r="G144" s="890"/>
      <c r="H144" s="890"/>
      <c r="I144" s="890"/>
      <c r="J144" s="890"/>
      <c r="K144" s="869"/>
    </row>
    <row r="145" spans="1:11" ht="44.25" customHeight="1">
      <c r="A145" s="869"/>
      <c r="B145" s="888"/>
      <c r="C145" s="889"/>
      <c r="D145" s="889"/>
      <c r="E145" s="889"/>
      <c r="F145" s="890"/>
      <c r="G145" s="890"/>
      <c r="H145" s="890"/>
      <c r="I145" s="890"/>
      <c r="J145" s="890"/>
      <c r="K145" s="869"/>
    </row>
    <row r="146" spans="1:11" ht="44.25" customHeight="1">
      <c r="A146" s="869"/>
      <c r="B146" s="888"/>
      <c r="C146" s="889"/>
      <c r="D146" s="889"/>
      <c r="E146" s="889"/>
      <c r="F146" s="890"/>
      <c r="G146" s="890"/>
      <c r="H146" s="890"/>
      <c r="I146" s="890"/>
      <c r="J146" s="890"/>
      <c r="K146" s="869"/>
    </row>
    <row r="147" spans="1:11" ht="44.25" customHeight="1">
      <c r="A147" s="869"/>
      <c r="B147" s="888"/>
      <c r="C147" s="889"/>
      <c r="D147" s="889"/>
      <c r="E147" s="889"/>
      <c r="F147" s="890"/>
      <c r="G147" s="890"/>
      <c r="H147" s="890"/>
      <c r="I147" s="890"/>
      <c r="J147" s="890"/>
      <c r="K147" s="869"/>
    </row>
    <row r="148" spans="1:11" ht="44.25" customHeight="1">
      <c r="A148" s="869"/>
      <c r="B148" s="888"/>
      <c r="C148" s="889"/>
      <c r="D148" s="889"/>
      <c r="E148" s="889"/>
      <c r="F148" s="890"/>
      <c r="G148" s="890"/>
      <c r="H148" s="890"/>
      <c r="I148" s="890"/>
      <c r="J148" s="890"/>
      <c r="K148" s="869"/>
    </row>
    <row r="149" spans="1:11" ht="44.25" customHeight="1">
      <c r="A149" s="869"/>
      <c r="B149" s="888"/>
      <c r="C149" s="889"/>
      <c r="D149" s="889"/>
      <c r="E149" s="889"/>
      <c r="F149" s="890"/>
      <c r="G149" s="890"/>
      <c r="H149" s="890"/>
      <c r="I149" s="890"/>
      <c r="J149" s="890"/>
      <c r="K149" s="869"/>
    </row>
    <row r="150" spans="1:11" ht="44.25" customHeight="1">
      <c r="A150" s="869"/>
      <c r="B150" s="888"/>
      <c r="C150" s="889"/>
      <c r="D150" s="889"/>
      <c r="E150" s="889"/>
      <c r="F150" s="890"/>
      <c r="G150" s="890"/>
      <c r="H150" s="890"/>
      <c r="I150" s="890"/>
      <c r="J150" s="890"/>
      <c r="K150" s="869"/>
    </row>
    <row r="151" spans="1:11" ht="44.25" customHeight="1">
      <c r="A151" s="869"/>
      <c r="B151" s="888"/>
      <c r="C151" s="889"/>
      <c r="D151" s="889"/>
      <c r="E151" s="889"/>
      <c r="F151" s="890"/>
      <c r="G151" s="890"/>
      <c r="H151" s="890"/>
      <c r="I151" s="890"/>
      <c r="J151" s="890"/>
      <c r="K151" s="869"/>
    </row>
    <row r="152" spans="1:11" ht="44.25" customHeight="1">
      <c r="A152" s="869"/>
      <c r="B152" s="888"/>
      <c r="C152" s="889"/>
      <c r="D152" s="889"/>
      <c r="E152" s="889"/>
      <c r="F152" s="890"/>
      <c r="G152" s="890"/>
      <c r="H152" s="890"/>
      <c r="I152" s="890"/>
      <c r="J152" s="890"/>
      <c r="K152" s="869"/>
    </row>
    <row r="153" spans="1:11" ht="44.25" customHeight="1">
      <c r="A153" s="869"/>
      <c r="B153" s="888"/>
      <c r="C153" s="889"/>
      <c r="D153" s="889"/>
      <c r="E153" s="889"/>
      <c r="F153" s="890"/>
      <c r="G153" s="890"/>
      <c r="H153" s="890"/>
      <c r="I153" s="890"/>
      <c r="J153" s="890"/>
      <c r="K153" s="869"/>
    </row>
    <row r="154" spans="1:11" ht="44.25" customHeight="1">
      <c r="A154" s="869"/>
      <c r="B154" s="888"/>
      <c r="C154" s="889"/>
      <c r="D154" s="889"/>
      <c r="E154" s="889"/>
      <c r="F154" s="890"/>
      <c r="G154" s="890"/>
      <c r="H154" s="890"/>
      <c r="I154" s="890"/>
      <c r="J154" s="890"/>
      <c r="K154" s="869"/>
    </row>
    <row r="155" spans="1:11" ht="44.25" customHeight="1">
      <c r="A155" s="869"/>
      <c r="B155" s="888"/>
      <c r="C155" s="889"/>
      <c r="D155" s="889"/>
      <c r="E155" s="889"/>
      <c r="F155" s="890"/>
      <c r="G155" s="890"/>
      <c r="H155" s="890"/>
      <c r="I155" s="890"/>
      <c r="J155" s="890"/>
      <c r="K155" s="869"/>
    </row>
    <row r="156" spans="1:11" ht="44.25" customHeight="1">
      <c r="A156" s="869"/>
      <c r="B156" s="888"/>
      <c r="C156" s="889"/>
      <c r="D156" s="889"/>
      <c r="E156" s="889"/>
      <c r="F156" s="890"/>
      <c r="G156" s="890"/>
      <c r="H156" s="890"/>
      <c r="I156" s="890"/>
      <c r="J156" s="890"/>
      <c r="K156" s="869"/>
    </row>
    <row r="157" spans="1:11" ht="44.25" customHeight="1">
      <c r="A157" s="869"/>
      <c r="B157" s="888"/>
      <c r="C157" s="889"/>
      <c r="D157" s="889"/>
      <c r="E157" s="889"/>
      <c r="F157" s="890"/>
      <c r="G157" s="890"/>
      <c r="H157" s="890"/>
      <c r="I157" s="890"/>
      <c r="J157" s="890"/>
      <c r="K157" s="869"/>
    </row>
    <row r="158" spans="1:11" ht="44.25" customHeight="1">
      <c r="A158" s="869"/>
      <c r="B158" s="888"/>
      <c r="C158" s="889"/>
      <c r="D158" s="889"/>
      <c r="E158" s="889"/>
      <c r="F158" s="890"/>
      <c r="G158" s="890"/>
      <c r="H158" s="890"/>
      <c r="I158" s="890"/>
      <c r="J158" s="890"/>
      <c r="K158" s="869"/>
    </row>
    <row r="159" spans="1:11" ht="44.25" customHeight="1">
      <c r="A159" s="869"/>
      <c r="B159" s="888"/>
      <c r="C159" s="889"/>
      <c r="D159" s="889"/>
      <c r="E159" s="889"/>
      <c r="F159" s="890"/>
      <c r="G159" s="890"/>
      <c r="H159" s="890"/>
      <c r="I159" s="890"/>
      <c r="J159" s="890"/>
      <c r="K159" s="869"/>
    </row>
    <row r="160" spans="1:11" ht="44.25" customHeight="1">
      <c r="A160" s="869"/>
      <c r="B160" s="888"/>
      <c r="C160" s="889"/>
      <c r="D160" s="889"/>
      <c r="E160" s="889"/>
      <c r="F160" s="890"/>
      <c r="G160" s="890"/>
      <c r="H160" s="890"/>
      <c r="I160" s="890"/>
      <c r="J160" s="890"/>
      <c r="K160" s="869"/>
    </row>
    <row r="161" spans="1:11" ht="44.25" customHeight="1">
      <c r="A161" s="869"/>
      <c r="B161" s="888"/>
      <c r="C161" s="889"/>
      <c r="D161" s="889"/>
      <c r="E161" s="889"/>
      <c r="F161" s="890"/>
      <c r="G161" s="890"/>
      <c r="H161" s="890"/>
      <c r="I161" s="890"/>
      <c r="J161" s="890"/>
      <c r="K161" s="869"/>
    </row>
    <row r="162" spans="1:11" ht="44.25" customHeight="1">
      <c r="A162" s="869"/>
      <c r="B162" s="888"/>
      <c r="C162" s="889"/>
      <c r="D162" s="889"/>
      <c r="E162" s="889"/>
      <c r="F162" s="890"/>
      <c r="G162" s="890"/>
      <c r="H162" s="890"/>
      <c r="I162" s="890"/>
      <c r="J162" s="890"/>
      <c r="K162" s="869"/>
    </row>
    <row r="163" spans="1:11" ht="44.25" customHeight="1">
      <c r="A163" s="869"/>
      <c r="B163" s="888"/>
      <c r="C163" s="889"/>
      <c r="D163" s="889"/>
      <c r="E163" s="889"/>
      <c r="F163" s="890"/>
      <c r="G163" s="890"/>
      <c r="H163" s="890"/>
      <c r="I163" s="890"/>
      <c r="J163" s="890"/>
      <c r="K163" s="869"/>
    </row>
    <row r="164" spans="1:11" ht="44.25" customHeight="1">
      <c r="A164" s="869"/>
      <c r="B164" s="888"/>
      <c r="C164" s="889"/>
      <c r="D164" s="889"/>
      <c r="E164" s="889"/>
      <c r="F164" s="890"/>
      <c r="G164" s="890"/>
      <c r="H164" s="890"/>
      <c r="I164" s="890"/>
      <c r="J164" s="890"/>
      <c r="K164" s="869"/>
    </row>
    <row r="165" spans="1:11" ht="44.25" customHeight="1">
      <c r="A165" s="869"/>
      <c r="B165" s="888"/>
      <c r="C165" s="889"/>
      <c r="D165" s="889"/>
      <c r="E165" s="889"/>
      <c r="F165" s="890"/>
      <c r="G165" s="890"/>
      <c r="H165" s="890"/>
      <c r="I165" s="890"/>
      <c r="J165" s="890"/>
      <c r="K165" s="869"/>
    </row>
    <row r="166" spans="1:11" ht="44.25" customHeight="1">
      <c r="A166" s="869"/>
      <c r="B166" s="888"/>
      <c r="C166" s="889"/>
      <c r="D166" s="889"/>
      <c r="E166" s="889"/>
      <c r="F166" s="890"/>
      <c r="G166" s="890"/>
      <c r="H166" s="890"/>
      <c r="I166" s="890"/>
      <c r="J166" s="890"/>
      <c r="K166" s="869"/>
    </row>
    <row r="167" spans="1:11" ht="44.25" customHeight="1">
      <c r="A167" s="869"/>
      <c r="B167" s="888"/>
      <c r="C167" s="889"/>
      <c r="D167" s="889"/>
      <c r="E167" s="889"/>
      <c r="F167" s="890"/>
      <c r="G167" s="890"/>
      <c r="H167" s="890"/>
      <c r="I167" s="890"/>
      <c r="J167" s="890"/>
      <c r="K167" s="869"/>
    </row>
    <row r="168" spans="1:11" ht="44.25" customHeight="1">
      <c r="A168" s="869"/>
      <c r="B168" s="888"/>
      <c r="C168" s="889"/>
      <c r="D168" s="889"/>
      <c r="E168" s="889"/>
      <c r="F168" s="890"/>
      <c r="G168" s="890"/>
      <c r="H168" s="890"/>
      <c r="I168" s="890"/>
      <c r="J168" s="890"/>
      <c r="K168" s="869"/>
    </row>
    <row r="169" spans="1:11" ht="44.25" customHeight="1">
      <c r="A169" s="869"/>
      <c r="B169" s="888"/>
      <c r="C169" s="889"/>
      <c r="D169" s="889"/>
      <c r="E169" s="889"/>
      <c r="F169" s="890"/>
      <c r="G169" s="890"/>
      <c r="H169" s="890"/>
      <c r="I169" s="890"/>
      <c r="J169" s="890"/>
      <c r="K169" s="869"/>
    </row>
    <row r="170" spans="1:11" ht="44.25" customHeight="1">
      <c r="A170" s="869"/>
      <c r="B170" s="888"/>
      <c r="C170" s="889"/>
      <c r="D170" s="889"/>
      <c r="E170" s="889"/>
      <c r="F170" s="890"/>
      <c r="G170" s="890"/>
      <c r="H170" s="890"/>
      <c r="I170" s="890"/>
      <c r="J170" s="890"/>
      <c r="K170" s="869"/>
    </row>
    <row r="171" spans="1:11" ht="44.25" customHeight="1">
      <c r="A171" s="869"/>
      <c r="B171" s="888"/>
      <c r="C171" s="889"/>
      <c r="D171" s="889"/>
      <c r="E171" s="889"/>
      <c r="F171" s="890"/>
      <c r="G171" s="890"/>
      <c r="H171" s="890"/>
      <c r="I171" s="890"/>
      <c r="J171" s="890"/>
      <c r="K171" s="869"/>
    </row>
    <row r="172" spans="1:11" ht="44.25" customHeight="1">
      <c r="A172" s="869"/>
      <c r="B172" s="888"/>
      <c r="C172" s="889"/>
      <c r="D172" s="889"/>
      <c r="E172" s="889"/>
      <c r="F172" s="890"/>
      <c r="G172" s="890"/>
      <c r="H172" s="890"/>
      <c r="I172" s="890"/>
      <c r="J172" s="890"/>
      <c r="K172" s="869"/>
    </row>
    <row r="173" spans="1:11" ht="44.25" customHeight="1">
      <c r="A173" s="869"/>
      <c r="B173" s="888"/>
      <c r="C173" s="889"/>
      <c r="D173" s="889"/>
      <c r="E173" s="889"/>
      <c r="F173" s="890"/>
      <c r="G173" s="890"/>
      <c r="H173" s="890"/>
      <c r="I173" s="890"/>
      <c r="J173" s="890"/>
      <c r="K173" s="869"/>
    </row>
    <row r="174" spans="1:11" ht="44.25" customHeight="1">
      <c r="A174" s="869"/>
      <c r="B174" s="888"/>
      <c r="C174" s="889"/>
      <c r="D174" s="889"/>
      <c r="E174" s="889"/>
      <c r="F174" s="890"/>
      <c r="G174" s="890"/>
      <c r="H174" s="890"/>
      <c r="I174" s="890"/>
      <c r="J174" s="890"/>
      <c r="K174" s="869"/>
    </row>
    <row r="175" spans="1:11" ht="44.25" customHeight="1">
      <c r="A175" s="869"/>
      <c r="B175" s="888"/>
      <c r="C175" s="889"/>
      <c r="D175" s="889"/>
      <c r="E175" s="889"/>
      <c r="F175" s="890"/>
      <c r="G175" s="890"/>
      <c r="H175" s="890"/>
      <c r="I175" s="890"/>
      <c r="J175" s="890"/>
      <c r="K175" s="869"/>
    </row>
    <row r="176" spans="1:11" ht="44.25" customHeight="1">
      <c r="A176" s="869"/>
      <c r="B176" s="888"/>
      <c r="C176" s="889"/>
      <c r="D176" s="889"/>
      <c r="E176" s="889"/>
      <c r="F176" s="890"/>
      <c r="G176" s="890"/>
      <c r="H176" s="890"/>
      <c r="I176" s="890"/>
      <c r="J176" s="890"/>
      <c r="K176" s="869"/>
    </row>
    <row r="177" spans="1:11" ht="44.25" customHeight="1">
      <c r="A177" s="869"/>
      <c r="B177" s="888"/>
      <c r="C177" s="889"/>
      <c r="D177" s="889"/>
      <c r="E177" s="889"/>
      <c r="F177" s="890"/>
      <c r="G177" s="890"/>
      <c r="H177" s="890"/>
      <c r="I177" s="890"/>
      <c r="J177" s="890"/>
      <c r="K177" s="869"/>
    </row>
    <row r="178" spans="1:11" ht="44.25" customHeight="1">
      <c r="A178" s="869"/>
      <c r="B178" s="888"/>
      <c r="C178" s="889"/>
      <c r="D178" s="889"/>
      <c r="E178" s="889"/>
      <c r="F178" s="890"/>
      <c r="G178" s="890"/>
      <c r="H178" s="890"/>
      <c r="I178" s="890"/>
      <c r="J178" s="890"/>
      <c r="K178" s="869"/>
    </row>
    <row r="179" spans="1:11" ht="44.25" customHeight="1">
      <c r="A179" s="869"/>
      <c r="B179" s="888"/>
      <c r="C179" s="889"/>
      <c r="D179" s="889"/>
      <c r="E179" s="889"/>
      <c r="F179" s="890"/>
      <c r="G179" s="890"/>
      <c r="H179" s="890"/>
      <c r="I179" s="890"/>
      <c r="J179" s="890"/>
      <c r="K179" s="869"/>
    </row>
    <row r="180" spans="1:11" ht="44.25" customHeight="1">
      <c r="A180" s="869"/>
      <c r="B180" s="888"/>
      <c r="C180" s="889"/>
      <c r="D180" s="889"/>
      <c r="E180" s="889"/>
      <c r="F180" s="890"/>
      <c r="G180" s="890"/>
      <c r="H180" s="890"/>
      <c r="I180" s="890"/>
      <c r="J180" s="890"/>
      <c r="K180" s="869"/>
    </row>
    <row r="181" spans="1:11" ht="44.25" customHeight="1">
      <c r="A181" s="869"/>
      <c r="B181" s="888"/>
      <c r="C181" s="889"/>
      <c r="D181" s="889"/>
      <c r="E181" s="889"/>
      <c r="F181" s="890"/>
      <c r="G181" s="890"/>
      <c r="H181" s="890"/>
      <c r="I181" s="890"/>
      <c r="J181" s="890"/>
      <c r="K181" s="869"/>
    </row>
    <row r="182" spans="1:11" ht="44.25" customHeight="1">
      <c r="A182" s="869"/>
      <c r="B182" s="888"/>
      <c r="C182" s="889"/>
      <c r="D182" s="889"/>
      <c r="E182" s="889"/>
      <c r="F182" s="890"/>
      <c r="G182" s="890"/>
      <c r="H182" s="890"/>
      <c r="I182" s="890"/>
      <c r="J182" s="890"/>
      <c r="K182" s="869"/>
    </row>
    <row r="183" spans="1:11" ht="44.25" customHeight="1">
      <c r="A183" s="869"/>
      <c r="B183" s="888"/>
      <c r="C183" s="889"/>
      <c r="D183" s="889"/>
      <c r="E183" s="889"/>
      <c r="F183" s="890"/>
      <c r="G183" s="890"/>
      <c r="H183" s="890"/>
      <c r="I183" s="890"/>
      <c r="J183" s="890"/>
      <c r="K183" s="869"/>
    </row>
    <row r="184" spans="1:11" ht="44.25" customHeight="1">
      <c r="A184" s="869"/>
      <c r="B184" s="888"/>
      <c r="C184" s="889"/>
      <c r="D184" s="889"/>
      <c r="E184" s="889"/>
      <c r="F184" s="890"/>
      <c r="G184" s="890"/>
      <c r="H184" s="890"/>
      <c r="I184" s="890"/>
      <c r="J184" s="890"/>
      <c r="K184" s="869"/>
    </row>
    <row r="185" spans="1:11" ht="44.25" customHeight="1">
      <c r="A185" s="869"/>
      <c r="B185" s="888"/>
      <c r="C185" s="889"/>
      <c r="D185" s="889"/>
      <c r="E185" s="889"/>
      <c r="F185" s="890"/>
      <c r="G185" s="890"/>
      <c r="H185" s="890"/>
      <c r="I185" s="890"/>
      <c r="J185" s="890"/>
      <c r="K185" s="869"/>
    </row>
    <row r="186" spans="1:11" ht="44.25" customHeight="1">
      <c r="A186" s="869"/>
      <c r="B186" s="888"/>
      <c r="C186" s="889"/>
      <c r="D186" s="889"/>
      <c r="E186" s="889"/>
      <c r="F186" s="890"/>
      <c r="G186" s="890"/>
      <c r="H186" s="890"/>
      <c r="I186" s="890"/>
      <c r="J186" s="890"/>
      <c r="K186" s="869"/>
    </row>
    <row r="187" spans="1:11" ht="44.25" customHeight="1">
      <c r="A187" s="869"/>
      <c r="B187" s="888"/>
      <c r="C187" s="889"/>
      <c r="D187" s="889"/>
      <c r="E187" s="889"/>
      <c r="F187" s="890"/>
      <c r="G187" s="890"/>
      <c r="H187" s="890"/>
      <c r="I187" s="890"/>
      <c r="J187" s="890"/>
      <c r="K187" s="869"/>
    </row>
    <row r="188" spans="1:11" ht="44.25" customHeight="1">
      <c r="A188" s="869"/>
      <c r="B188" s="888"/>
      <c r="C188" s="889"/>
      <c r="D188" s="889"/>
      <c r="E188" s="889"/>
      <c r="F188" s="890"/>
      <c r="G188" s="890"/>
      <c r="H188" s="890"/>
      <c r="I188" s="890"/>
      <c r="J188" s="890"/>
      <c r="K188" s="869"/>
    </row>
    <row r="189" spans="1:11" ht="44.25" customHeight="1">
      <c r="A189" s="869"/>
      <c r="B189" s="888"/>
      <c r="C189" s="889"/>
      <c r="D189" s="889"/>
      <c r="E189" s="889"/>
      <c r="F189" s="890"/>
      <c r="G189" s="890"/>
      <c r="H189" s="890"/>
      <c r="I189" s="890"/>
      <c r="J189" s="890"/>
      <c r="K189" s="869"/>
    </row>
    <row r="190" spans="1:11" ht="44.25" customHeight="1">
      <c r="A190" s="869"/>
      <c r="B190" s="888"/>
      <c r="C190" s="889"/>
      <c r="D190" s="889"/>
      <c r="E190" s="889"/>
      <c r="F190" s="890"/>
      <c r="G190" s="890"/>
      <c r="H190" s="890"/>
      <c r="I190" s="890"/>
      <c r="J190" s="890"/>
      <c r="K190" s="869"/>
    </row>
    <row r="191" spans="1:11" ht="44.25" customHeight="1">
      <c r="A191" s="869"/>
      <c r="B191" s="888"/>
      <c r="C191" s="889"/>
      <c r="D191" s="889"/>
      <c r="E191" s="889"/>
      <c r="F191" s="890"/>
      <c r="G191" s="890"/>
      <c r="H191" s="890"/>
      <c r="I191" s="890"/>
      <c r="J191" s="890"/>
      <c r="K191" s="869"/>
    </row>
    <row r="192" spans="1:11" ht="44.25" customHeight="1">
      <c r="A192" s="869"/>
      <c r="B192" s="888"/>
      <c r="C192" s="889"/>
      <c r="D192" s="889"/>
      <c r="E192" s="889"/>
      <c r="F192" s="890"/>
      <c r="G192" s="890"/>
      <c r="H192" s="890"/>
      <c r="I192" s="890"/>
      <c r="J192" s="890"/>
      <c r="K192" s="869"/>
    </row>
    <row r="193" spans="1:11" ht="44.25" customHeight="1">
      <c r="A193" s="869"/>
      <c r="B193" s="888"/>
      <c r="C193" s="889"/>
      <c r="D193" s="889"/>
      <c r="E193" s="889"/>
      <c r="F193" s="890"/>
      <c r="G193" s="890"/>
      <c r="H193" s="890"/>
      <c r="I193" s="890"/>
      <c r="J193" s="890"/>
      <c r="K193" s="869"/>
    </row>
    <row r="194" spans="1:11" ht="44.25" customHeight="1">
      <c r="A194" s="869"/>
      <c r="B194" s="888"/>
      <c r="C194" s="889"/>
      <c r="D194" s="889"/>
      <c r="E194" s="889"/>
      <c r="F194" s="890"/>
      <c r="G194" s="890"/>
      <c r="H194" s="890"/>
      <c r="I194" s="890"/>
      <c r="J194" s="890"/>
      <c r="K194" s="869"/>
    </row>
    <row r="195" spans="1:11" ht="44.25" customHeight="1">
      <c r="A195" s="869"/>
      <c r="B195" s="888"/>
      <c r="C195" s="889"/>
      <c r="D195" s="889"/>
      <c r="E195" s="889"/>
      <c r="F195" s="890"/>
      <c r="G195" s="890"/>
      <c r="H195" s="890"/>
      <c r="I195" s="890"/>
      <c r="J195" s="890"/>
      <c r="K195" s="869"/>
    </row>
    <row r="196" spans="1:11" ht="44.25" customHeight="1">
      <c r="A196" s="869"/>
      <c r="B196" s="888"/>
      <c r="C196" s="889"/>
      <c r="D196" s="889"/>
      <c r="E196" s="889"/>
      <c r="F196" s="890"/>
      <c r="G196" s="890"/>
      <c r="H196" s="890"/>
      <c r="I196" s="890"/>
      <c r="J196" s="890"/>
      <c r="K196" s="869"/>
    </row>
    <row r="197" spans="1:11" ht="44.25" customHeight="1">
      <c r="A197" s="869"/>
      <c r="B197" s="888"/>
      <c r="C197" s="889"/>
      <c r="D197" s="889"/>
      <c r="E197" s="889"/>
      <c r="F197" s="890"/>
      <c r="G197" s="890"/>
      <c r="H197" s="890"/>
      <c r="I197" s="890"/>
      <c r="J197" s="890"/>
      <c r="K197" s="869"/>
    </row>
    <row r="198" spans="1:11" ht="44.25" customHeight="1">
      <c r="A198" s="869"/>
      <c r="B198" s="888"/>
      <c r="C198" s="889"/>
      <c r="D198" s="889"/>
      <c r="E198" s="889"/>
      <c r="F198" s="890"/>
      <c r="G198" s="890"/>
      <c r="H198" s="890"/>
      <c r="I198" s="890"/>
      <c r="J198" s="890"/>
      <c r="K198" s="869"/>
    </row>
    <row r="199" spans="1:11" ht="44.25" customHeight="1">
      <c r="A199" s="869"/>
      <c r="B199" s="888"/>
      <c r="C199" s="889"/>
      <c r="D199" s="889"/>
      <c r="E199" s="889"/>
      <c r="F199" s="890"/>
      <c r="G199" s="890"/>
      <c r="H199" s="890"/>
      <c r="I199" s="890"/>
      <c r="J199" s="890"/>
      <c r="K199" s="869"/>
    </row>
    <row r="200" spans="1:11" ht="44.25" customHeight="1">
      <c r="A200" s="869"/>
      <c r="B200" s="888"/>
      <c r="C200" s="889"/>
      <c r="D200" s="889"/>
      <c r="E200" s="889"/>
      <c r="F200" s="890"/>
      <c r="G200" s="890"/>
      <c r="H200" s="890"/>
      <c r="I200" s="890"/>
      <c r="J200" s="890"/>
      <c r="K200" s="869"/>
    </row>
    <row r="201" spans="1:11" ht="44.25" customHeight="1">
      <c r="A201" s="869"/>
      <c r="B201" s="888"/>
      <c r="C201" s="889"/>
      <c r="D201" s="889"/>
      <c r="E201" s="889"/>
      <c r="F201" s="890"/>
      <c r="G201" s="890"/>
      <c r="H201" s="890"/>
      <c r="I201" s="890"/>
      <c r="J201" s="890"/>
      <c r="K201" s="869"/>
    </row>
    <row r="202" spans="1:11" ht="44.25" customHeight="1">
      <c r="A202" s="869"/>
      <c r="B202" s="888"/>
      <c r="C202" s="889"/>
      <c r="D202" s="889"/>
      <c r="E202" s="889"/>
      <c r="F202" s="890"/>
      <c r="G202" s="890"/>
      <c r="H202" s="890"/>
      <c r="I202" s="890"/>
      <c r="J202" s="890"/>
      <c r="K202" s="869"/>
    </row>
    <row r="203" spans="1:11" ht="44.25" customHeight="1">
      <c r="A203" s="869"/>
      <c r="B203" s="888"/>
      <c r="C203" s="889"/>
      <c r="D203" s="889"/>
      <c r="E203" s="889"/>
      <c r="F203" s="890"/>
      <c r="G203" s="890"/>
      <c r="H203" s="890"/>
      <c r="I203" s="890"/>
      <c r="J203" s="890"/>
      <c r="K203" s="869"/>
    </row>
    <row r="204" spans="1:11" ht="44.25" customHeight="1">
      <c r="A204" s="869"/>
      <c r="B204" s="888"/>
      <c r="C204" s="889"/>
      <c r="D204" s="889"/>
      <c r="E204" s="889"/>
      <c r="F204" s="890"/>
      <c r="G204" s="890"/>
      <c r="H204" s="890"/>
      <c r="I204" s="890"/>
      <c r="J204" s="890"/>
      <c r="K204" s="869"/>
    </row>
    <row r="205" spans="1:11" ht="44.25" customHeight="1">
      <c r="A205" s="869"/>
      <c r="B205" s="888"/>
      <c r="C205" s="889"/>
      <c r="D205" s="889"/>
      <c r="E205" s="889"/>
      <c r="F205" s="890"/>
      <c r="G205" s="890"/>
      <c r="H205" s="890"/>
      <c r="I205" s="890"/>
      <c r="J205" s="890"/>
      <c r="K205" s="869"/>
    </row>
    <row r="206" spans="1:11" ht="44.25" customHeight="1">
      <c r="A206" s="869"/>
      <c r="B206" s="888"/>
      <c r="C206" s="889"/>
      <c r="D206" s="889"/>
      <c r="E206" s="889"/>
      <c r="F206" s="890"/>
      <c r="G206" s="890"/>
      <c r="H206" s="890"/>
      <c r="I206" s="890"/>
      <c r="J206" s="890"/>
      <c r="K206" s="869"/>
    </row>
    <row r="207" spans="1:11" ht="44.25" customHeight="1">
      <c r="A207" s="869"/>
      <c r="B207" s="888"/>
      <c r="C207" s="889"/>
      <c r="D207" s="889"/>
      <c r="E207" s="889"/>
      <c r="F207" s="890"/>
      <c r="G207" s="890"/>
      <c r="H207" s="890"/>
      <c r="I207" s="890"/>
      <c r="J207" s="890"/>
      <c r="K207" s="869"/>
    </row>
    <row r="208" spans="1:11" ht="44.25" customHeight="1">
      <c r="A208" s="869"/>
      <c r="B208" s="888"/>
      <c r="C208" s="889"/>
      <c r="D208" s="889"/>
      <c r="E208" s="889"/>
      <c r="F208" s="890"/>
      <c r="G208" s="890"/>
      <c r="H208" s="890"/>
      <c r="I208" s="890"/>
      <c r="J208" s="890"/>
      <c r="K208" s="869"/>
    </row>
    <row r="209" spans="1:11" ht="44.25" customHeight="1">
      <c r="A209" s="869"/>
      <c r="B209" s="888"/>
      <c r="C209" s="889"/>
      <c r="D209" s="889"/>
      <c r="E209" s="889"/>
      <c r="F209" s="890"/>
      <c r="G209" s="890"/>
      <c r="H209" s="890"/>
      <c r="I209" s="890"/>
      <c r="J209" s="890"/>
      <c r="K209" s="869"/>
    </row>
    <row r="210" spans="1:11" ht="44.25" customHeight="1">
      <c r="A210" s="869"/>
      <c r="B210" s="888"/>
      <c r="C210" s="889"/>
      <c r="D210" s="889"/>
      <c r="E210" s="889"/>
      <c r="F210" s="890"/>
      <c r="G210" s="890"/>
      <c r="H210" s="890"/>
      <c r="I210" s="890"/>
      <c r="J210" s="890"/>
      <c r="K210" s="869"/>
    </row>
    <row r="211" spans="1:11" ht="44.25" customHeight="1">
      <c r="A211" s="869"/>
      <c r="B211" s="888"/>
      <c r="C211" s="889"/>
      <c r="D211" s="889"/>
      <c r="E211" s="889"/>
      <c r="F211" s="890"/>
      <c r="G211" s="890"/>
      <c r="H211" s="890"/>
      <c r="I211" s="890"/>
      <c r="J211" s="890"/>
      <c r="K211" s="869"/>
    </row>
    <row r="212" spans="1:11" ht="44.25" customHeight="1">
      <c r="A212" s="869"/>
      <c r="B212" s="888"/>
      <c r="C212" s="889"/>
      <c r="D212" s="889"/>
      <c r="E212" s="889"/>
      <c r="F212" s="890"/>
      <c r="G212" s="890"/>
      <c r="H212" s="890"/>
      <c r="I212" s="890"/>
      <c r="J212" s="890"/>
      <c r="K212" s="869"/>
    </row>
    <row r="213" spans="1:11" ht="44.25" customHeight="1">
      <c r="A213" s="869"/>
      <c r="B213" s="888"/>
      <c r="C213" s="889"/>
      <c r="D213" s="889"/>
      <c r="E213" s="889"/>
      <c r="F213" s="890"/>
      <c r="G213" s="890"/>
      <c r="H213" s="890"/>
      <c r="I213" s="890"/>
      <c r="J213" s="890"/>
      <c r="K213" s="869"/>
    </row>
    <row r="214" spans="1:11" ht="44.25" customHeight="1">
      <c r="A214" s="869"/>
      <c r="B214" s="888"/>
      <c r="C214" s="889"/>
      <c r="D214" s="889"/>
      <c r="E214" s="889"/>
      <c r="F214" s="890"/>
      <c r="G214" s="890"/>
      <c r="H214" s="890"/>
      <c r="I214" s="890"/>
      <c r="J214" s="890"/>
      <c r="K214" s="869"/>
    </row>
    <row r="215" spans="1:11" ht="44.25" customHeight="1">
      <c r="A215" s="869"/>
      <c r="B215" s="888"/>
      <c r="C215" s="889"/>
      <c r="D215" s="889"/>
      <c r="E215" s="889"/>
      <c r="F215" s="890"/>
      <c r="G215" s="890"/>
      <c r="H215" s="890"/>
      <c r="I215" s="890"/>
      <c r="J215" s="890"/>
      <c r="K215" s="869"/>
    </row>
    <row r="216" spans="1:11" ht="44.25" customHeight="1">
      <c r="A216" s="869"/>
      <c r="B216" s="888"/>
      <c r="C216" s="889"/>
      <c r="D216" s="889"/>
      <c r="E216" s="889"/>
      <c r="F216" s="890"/>
      <c r="G216" s="890"/>
      <c r="H216" s="890"/>
      <c r="I216" s="890"/>
      <c r="J216" s="890"/>
      <c r="K216" s="869"/>
    </row>
    <row r="217" spans="1:11" ht="44.25" customHeight="1">
      <c r="A217" s="869"/>
      <c r="B217" s="888"/>
      <c r="C217" s="889"/>
      <c r="D217" s="889"/>
      <c r="E217" s="889"/>
      <c r="F217" s="890"/>
      <c r="G217" s="890"/>
      <c r="H217" s="890"/>
      <c r="I217" s="890"/>
      <c r="J217" s="890"/>
      <c r="K217" s="869"/>
    </row>
    <row r="218" spans="1:11" ht="44.25" customHeight="1">
      <c r="A218" s="869"/>
      <c r="B218" s="888"/>
      <c r="C218" s="889"/>
      <c r="D218" s="889"/>
      <c r="E218" s="889"/>
      <c r="F218" s="890"/>
      <c r="G218" s="890"/>
      <c r="H218" s="890"/>
      <c r="I218" s="890"/>
      <c r="J218" s="890"/>
      <c r="K218" s="869"/>
    </row>
    <row r="219" spans="1:11" ht="44.25" customHeight="1">
      <c r="A219" s="869"/>
      <c r="B219" s="888"/>
      <c r="C219" s="889"/>
      <c r="D219" s="889"/>
      <c r="E219" s="889"/>
      <c r="F219" s="890"/>
      <c r="G219" s="890"/>
      <c r="H219" s="890"/>
      <c r="I219" s="890"/>
      <c r="J219" s="890"/>
      <c r="K219" s="869"/>
    </row>
    <row r="220" spans="1:11" ht="44.25" customHeight="1">
      <c r="A220" s="869"/>
      <c r="B220" s="888"/>
      <c r="C220" s="889"/>
      <c r="D220" s="889"/>
      <c r="E220" s="889"/>
      <c r="F220" s="890"/>
      <c r="G220" s="890"/>
      <c r="H220" s="890"/>
      <c r="I220" s="890"/>
      <c r="J220" s="890"/>
      <c r="K220" s="869"/>
    </row>
    <row r="221" spans="1:11" ht="44.25" customHeight="1">
      <c r="A221" s="869"/>
      <c r="B221" s="888"/>
      <c r="C221" s="889"/>
      <c r="D221" s="889"/>
      <c r="E221" s="889"/>
      <c r="F221" s="890"/>
      <c r="G221" s="890"/>
      <c r="H221" s="890"/>
      <c r="I221" s="890"/>
      <c r="J221" s="890"/>
      <c r="K221" s="869"/>
    </row>
    <row r="222" spans="1:11" ht="44.25" customHeight="1">
      <c r="A222" s="869"/>
      <c r="B222" s="888"/>
      <c r="C222" s="889"/>
      <c r="D222" s="889"/>
      <c r="E222" s="889"/>
      <c r="F222" s="890"/>
      <c r="G222" s="890"/>
      <c r="H222" s="890"/>
      <c r="I222" s="890"/>
      <c r="J222" s="890"/>
      <c r="K222" s="869"/>
    </row>
    <row r="223" spans="1:11" ht="44.25" customHeight="1">
      <c r="A223" s="869"/>
      <c r="B223" s="888"/>
      <c r="C223" s="889"/>
      <c r="D223" s="889"/>
      <c r="E223" s="889"/>
      <c r="F223" s="890"/>
      <c r="G223" s="890"/>
      <c r="H223" s="890"/>
      <c r="I223" s="890"/>
      <c r="J223" s="890"/>
      <c r="K223" s="869"/>
    </row>
    <row r="224" spans="1:11" ht="44.25" customHeight="1">
      <c r="A224" s="869"/>
      <c r="B224" s="888"/>
      <c r="C224" s="889"/>
      <c r="D224" s="889"/>
      <c r="E224" s="889"/>
      <c r="F224" s="890"/>
      <c r="G224" s="890"/>
      <c r="H224" s="890"/>
      <c r="I224" s="890"/>
      <c r="J224" s="890"/>
      <c r="K224" s="869"/>
    </row>
    <row r="225" spans="1:11" ht="44.25" customHeight="1">
      <c r="A225" s="869"/>
      <c r="B225" s="888"/>
      <c r="C225" s="889"/>
      <c r="D225" s="889"/>
      <c r="E225" s="889"/>
      <c r="F225" s="890"/>
      <c r="G225" s="890"/>
      <c r="H225" s="890"/>
      <c r="I225" s="890"/>
      <c r="J225" s="890"/>
      <c r="K225" s="869"/>
    </row>
    <row r="226" spans="1:11" ht="44.25" customHeight="1">
      <c r="A226" s="869"/>
      <c r="B226" s="888"/>
      <c r="C226" s="889"/>
      <c r="D226" s="889"/>
      <c r="E226" s="889"/>
      <c r="F226" s="890"/>
      <c r="G226" s="890"/>
      <c r="H226" s="890"/>
      <c r="I226" s="890"/>
      <c r="J226" s="890"/>
      <c r="K226" s="869"/>
    </row>
    <row r="227" spans="1:11" ht="44.25" customHeight="1">
      <c r="A227" s="869"/>
      <c r="B227" s="888"/>
      <c r="C227" s="889"/>
      <c r="D227" s="889"/>
      <c r="E227" s="889"/>
      <c r="F227" s="890"/>
      <c r="G227" s="890"/>
      <c r="H227" s="890"/>
      <c r="I227" s="890"/>
      <c r="J227" s="890"/>
      <c r="K227" s="869"/>
    </row>
    <row r="228" spans="1:11" ht="44.25" customHeight="1">
      <c r="A228" s="869"/>
      <c r="B228" s="888"/>
      <c r="C228" s="889"/>
      <c r="D228" s="889"/>
      <c r="E228" s="889"/>
      <c r="F228" s="890"/>
      <c r="G228" s="890"/>
      <c r="H228" s="890"/>
      <c r="I228" s="890"/>
      <c r="J228" s="890"/>
      <c r="K228" s="869"/>
    </row>
    <row r="229" spans="1:11" ht="44.25" customHeight="1">
      <c r="A229" s="869"/>
      <c r="B229" s="888"/>
      <c r="C229" s="889"/>
      <c r="D229" s="889"/>
      <c r="E229" s="889"/>
      <c r="F229" s="890"/>
      <c r="G229" s="890"/>
      <c r="H229" s="890"/>
      <c r="I229" s="890"/>
      <c r="J229" s="890"/>
      <c r="K229" s="869"/>
    </row>
    <row r="230" spans="1:11" ht="44.25" customHeight="1">
      <c r="A230" s="869"/>
      <c r="B230" s="888"/>
      <c r="C230" s="889"/>
      <c r="D230" s="889"/>
      <c r="E230" s="889"/>
      <c r="F230" s="890"/>
      <c r="G230" s="890"/>
      <c r="H230" s="890"/>
      <c r="I230" s="890"/>
      <c r="J230" s="890"/>
      <c r="K230" s="869"/>
    </row>
    <row r="231" spans="1:11" ht="44.25" customHeight="1">
      <c r="A231" s="869"/>
      <c r="B231" s="888"/>
      <c r="C231" s="889"/>
      <c r="D231" s="889"/>
      <c r="E231" s="889"/>
      <c r="F231" s="890"/>
      <c r="G231" s="890"/>
      <c r="H231" s="890"/>
      <c r="I231" s="890"/>
      <c r="J231" s="890"/>
      <c r="K231" s="869"/>
    </row>
    <row r="232" spans="1:11" ht="44.25" customHeight="1">
      <c r="A232" s="869"/>
      <c r="B232" s="888"/>
      <c r="C232" s="889"/>
      <c r="D232" s="889"/>
      <c r="E232" s="889"/>
      <c r="F232" s="890"/>
      <c r="G232" s="890"/>
      <c r="H232" s="890"/>
      <c r="I232" s="890"/>
      <c r="J232" s="890"/>
      <c r="K232" s="869"/>
    </row>
    <row r="233" spans="1:11" ht="44.25" customHeight="1">
      <c r="A233" s="869"/>
      <c r="B233" s="888"/>
      <c r="C233" s="889"/>
      <c r="D233" s="889"/>
      <c r="E233" s="889"/>
      <c r="F233" s="890"/>
      <c r="G233" s="890"/>
      <c r="H233" s="890"/>
      <c r="I233" s="890"/>
      <c r="J233" s="890"/>
      <c r="K233" s="869"/>
    </row>
    <row r="234" spans="1:11" ht="44.25" customHeight="1">
      <c r="A234" s="869"/>
      <c r="B234" s="888"/>
      <c r="C234" s="889"/>
      <c r="D234" s="889"/>
      <c r="E234" s="889"/>
      <c r="F234" s="890"/>
      <c r="G234" s="890"/>
      <c r="H234" s="890"/>
      <c r="I234" s="890"/>
      <c r="J234" s="890"/>
      <c r="K234" s="869"/>
    </row>
    <row r="235" spans="1:11" ht="44.25" customHeight="1">
      <c r="A235" s="869"/>
      <c r="B235" s="888"/>
      <c r="C235" s="889"/>
      <c r="D235" s="889"/>
      <c r="E235" s="889"/>
      <c r="F235" s="890"/>
      <c r="G235" s="890"/>
      <c r="H235" s="890"/>
      <c r="I235" s="890"/>
      <c r="J235" s="890"/>
      <c r="K235" s="869"/>
    </row>
    <row r="236" spans="1:11" ht="44.25" customHeight="1">
      <c r="A236" s="869"/>
      <c r="B236" s="888"/>
      <c r="C236" s="889"/>
      <c r="D236" s="889"/>
      <c r="E236" s="889"/>
      <c r="F236" s="890"/>
      <c r="G236" s="890"/>
      <c r="H236" s="890"/>
      <c r="I236" s="890"/>
      <c r="J236" s="890"/>
      <c r="K236" s="869"/>
    </row>
    <row r="237" spans="1:11" ht="44.25" customHeight="1">
      <c r="A237" s="869"/>
      <c r="B237" s="888"/>
      <c r="C237" s="889"/>
      <c r="D237" s="889"/>
      <c r="E237" s="889"/>
      <c r="F237" s="890"/>
      <c r="G237" s="890"/>
      <c r="H237" s="890"/>
      <c r="I237" s="890"/>
      <c r="J237" s="890"/>
      <c r="K237" s="869"/>
    </row>
    <row r="238" spans="1:11" ht="44.25" customHeight="1">
      <c r="A238" s="869"/>
      <c r="B238" s="888"/>
      <c r="C238" s="889"/>
      <c r="D238" s="889"/>
      <c r="E238" s="889"/>
      <c r="F238" s="890"/>
      <c r="G238" s="890"/>
      <c r="H238" s="890"/>
      <c r="I238" s="890"/>
      <c r="J238" s="890"/>
      <c r="K238" s="869"/>
    </row>
    <row r="239" spans="1:11" ht="44.25" customHeight="1">
      <c r="A239" s="869"/>
      <c r="B239" s="888"/>
      <c r="C239" s="889"/>
      <c r="D239" s="889"/>
      <c r="E239" s="889"/>
      <c r="F239" s="890"/>
      <c r="G239" s="890"/>
      <c r="H239" s="890"/>
      <c r="I239" s="890"/>
      <c r="J239" s="890"/>
      <c r="K239" s="869"/>
    </row>
    <row r="240" spans="1:11" ht="44.25" customHeight="1">
      <c r="A240" s="869"/>
      <c r="B240" s="888"/>
      <c r="C240" s="889"/>
      <c r="D240" s="889"/>
      <c r="E240" s="889"/>
      <c r="F240" s="890"/>
      <c r="G240" s="890"/>
      <c r="H240" s="890"/>
      <c r="I240" s="890"/>
      <c r="J240" s="890"/>
      <c r="K240" s="869"/>
    </row>
    <row r="241" spans="1:11" ht="44.25" customHeight="1">
      <c r="A241" s="869"/>
      <c r="B241" s="888"/>
      <c r="C241" s="889"/>
      <c r="D241" s="889"/>
      <c r="E241" s="889"/>
      <c r="F241" s="890"/>
      <c r="G241" s="890"/>
      <c r="H241" s="890"/>
      <c r="I241" s="890"/>
      <c r="J241" s="890"/>
      <c r="K241" s="869"/>
    </row>
    <row r="242" spans="1:11" ht="44.25" customHeight="1">
      <c r="A242" s="869"/>
      <c r="B242" s="888"/>
      <c r="C242" s="889"/>
      <c r="D242" s="889"/>
      <c r="E242" s="889"/>
      <c r="F242" s="890"/>
      <c r="G242" s="890"/>
      <c r="H242" s="890"/>
      <c r="I242" s="890"/>
      <c r="J242" s="890"/>
      <c r="K242" s="869"/>
    </row>
    <row r="243" spans="1:11" ht="44.25" customHeight="1">
      <c r="A243" s="869"/>
      <c r="B243" s="888"/>
      <c r="C243" s="889"/>
      <c r="D243" s="889"/>
      <c r="E243" s="889"/>
      <c r="F243" s="890"/>
      <c r="G243" s="890"/>
      <c r="H243" s="890"/>
      <c r="I243" s="890"/>
      <c r="J243" s="890"/>
      <c r="K243" s="869"/>
    </row>
    <row r="244" spans="1:11" ht="44.25" customHeight="1">
      <c r="A244" s="869"/>
      <c r="B244" s="888"/>
      <c r="C244" s="889"/>
      <c r="D244" s="889"/>
      <c r="E244" s="889"/>
      <c r="F244" s="890"/>
      <c r="G244" s="890"/>
      <c r="H244" s="890"/>
      <c r="I244" s="890"/>
      <c r="J244" s="890"/>
      <c r="K244" s="869"/>
    </row>
    <row r="245" spans="1:11" ht="44.25" customHeight="1">
      <c r="A245" s="869"/>
      <c r="B245" s="888"/>
      <c r="C245" s="889"/>
      <c r="D245" s="889"/>
      <c r="E245" s="889"/>
      <c r="F245" s="890"/>
      <c r="G245" s="890"/>
      <c r="H245" s="890"/>
      <c r="I245" s="890"/>
      <c r="J245" s="890"/>
      <c r="K245" s="869"/>
    </row>
    <row r="246" spans="1:11" ht="44.25" customHeight="1">
      <c r="A246" s="869"/>
      <c r="B246" s="888"/>
      <c r="C246" s="889"/>
      <c r="D246" s="889"/>
      <c r="E246" s="889"/>
      <c r="F246" s="890"/>
      <c r="G246" s="890"/>
      <c r="H246" s="890"/>
      <c r="I246" s="890"/>
      <c r="J246" s="890"/>
      <c r="K246" s="869"/>
    </row>
    <row r="247" spans="1:11" ht="44.25" customHeight="1">
      <c r="A247" s="869"/>
      <c r="B247" s="888"/>
      <c r="C247" s="889"/>
      <c r="D247" s="889"/>
      <c r="E247" s="889"/>
      <c r="F247" s="890"/>
      <c r="G247" s="890"/>
      <c r="H247" s="890"/>
      <c r="I247" s="890"/>
      <c r="J247" s="890"/>
      <c r="K247" s="869"/>
    </row>
    <row r="248" spans="1:11" ht="44.25" customHeight="1">
      <c r="A248" s="869"/>
      <c r="B248" s="888"/>
      <c r="C248" s="889"/>
      <c r="D248" s="889"/>
      <c r="E248" s="889"/>
      <c r="F248" s="890"/>
      <c r="G248" s="890"/>
      <c r="H248" s="890"/>
      <c r="I248" s="890"/>
      <c r="J248" s="890"/>
      <c r="K248" s="869"/>
    </row>
    <row r="249" spans="1:11" ht="44.25" customHeight="1">
      <c r="A249" s="869"/>
      <c r="B249" s="888"/>
      <c r="C249" s="889"/>
      <c r="D249" s="889"/>
      <c r="E249" s="889"/>
      <c r="F249" s="890"/>
      <c r="G249" s="890"/>
      <c r="H249" s="890"/>
      <c r="I249" s="890"/>
      <c r="J249" s="890"/>
      <c r="K249" s="869"/>
    </row>
    <row r="250" spans="1:11" ht="44.25" customHeight="1">
      <c r="A250" s="869"/>
      <c r="B250" s="888"/>
      <c r="C250" s="889"/>
      <c r="D250" s="889"/>
      <c r="E250" s="889"/>
      <c r="F250" s="890"/>
      <c r="G250" s="890"/>
      <c r="H250" s="890"/>
      <c r="I250" s="890"/>
      <c r="J250" s="890"/>
      <c r="K250" s="869"/>
    </row>
    <row r="251" spans="1:11" ht="44.25" customHeight="1">
      <c r="A251" s="869"/>
      <c r="B251" s="888"/>
      <c r="C251" s="889"/>
      <c r="D251" s="889"/>
      <c r="E251" s="889"/>
      <c r="F251" s="890"/>
      <c r="G251" s="890"/>
      <c r="H251" s="890"/>
      <c r="I251" s="890"/>
      <c r="J251" s="890"/>
      <c r="K251" s="869"/>
    </row>
    <row r="252" spans="1:11" ht="44.25" customHeight="1">
      <c r="A252" s="869"/>
      <c r="B252" s="888"/>
      <c r="C252" s="889"/>
      <c r="D252" s="889"/>
      <c r="E252" s="889"/>
      <c r="F252" s="890"/>
      <c r="G252" s="890"/>
      <c r="H252" s="890"/>
      <c r="I252" s="890"/>
      <c r="J252" s="890"/>
      <c r="K252" s="869"/>
    </row>
    <row r="253" spans="1:11" ht="44.25" customHeight="1">
      <c r="A253" s="869"/>
      <c r="B253" s="888"/>
      <c r="C253" s="889"/>
      <c r="D253" s="889"/>
      <c r="E253" s="889"/>
      <c r="F253" s="890"/>
      <c r="G253" s="890"/>
      <c r="H253" s="890"/>
      <c r="I253" s="890"/>
      <c r="J253" s="890"/>
      <c r="K253" s="869"/>
    </row>
    <row r="254" spans="1:11" ht="44.25" customHeight="1">
      <c r="A254" s="869"/>
      <c r="B254" s="888"/>
      <c r="C254" s="889"/>
      <c r="D254" s="889"/>
      <c r="E254" s="889"/>
      <c r="F254" s="890"/>
      <c r="G254" s="890"/>
      <c r="H254" s="890"/>
      <c r="I254" s="890"/>
      <c r="J254" s="890"/>
      <c r="K254" s="869"/>
    </row>
    <row r="255" spans="1:11" ht="44.25" customHeight="1">
      <c r="A255" s="869"/>
      <c r="B255" s="888"/>
      <c r="C255" s="889"/>
      <c r="D255" s="889"/>
      <c r="E255" s="889"/>
      <c r="F255" s="890"/>
      <c r="G255" s="890"/>
      <c r="H255" s="890"/>
      <c r="I255" s="890"/>
      <c r="J255" s="890"/>
      <c r="K255" s="869"/>
    </row>
    <row r="256" spans="1:11" ht="44.25" customHeight="1">
      <c r="A256" s="869"/>
      <c r="B256" s="888"/>
      <c r="C256" s="889"/>
      <c r="D256" s="889"/>
      <c r="E256" s="889"/>
      <c r="F256" s="890"/>
      <c r="G256" s="890"/>
      <c r="H256" s="890"/>
      <c r="I256" s="890"/>
      <c r="J256" s="890"/>
      <c r="K256" s="869"/>
    </row>
    <row r="257" spans="1:11" ht="44.25" customHeight="1">
      <c r="A257" s="869"/>
      <c r="B257" s="888"/>
      <c r="C257" s="889"/>
      <c r="D257" s="889"/>
      <c r="E257" s="889"/>
      <c r="F257" s="890"/>
      <c r="G257" s="890"/>
      <c r="H257" s="890"/>
      <c r="I257" s="890"/>
      <c r="J257" s="890"/>
      <c r="K257" s="869"/>
    </row>
    <row r="258" spans="1:11" ht="44.25" customHeight="1">
      <c r="A258" s="869"/>
      <c r="B258" s="888"/>
      <c r="C258" s="889"/>
      <c r="D258" s="889"/>
      <c r="E258" s="889"/>
      <c r="F258" s="890"/>
      <c r="G258" s="890"/>
      <c r="H258" s="890"/>
      <c r="I258" s="890"/>
      <c r="J258" s="890"/>
      <c r="K258" s="869"/>
    </row>
    <row r="259" spans="1:11" ht="44.25" customHeight="1">
      <c r="A259" s="869"/>
      <c r="B259" s="888"/>
      <c r="C259" s="889"/>
      <c r="D259" s="889"/>
      <c r="E259" s="889"/>
      <c r="F259" s="890"/>
      <c r="G259" s="890"/>
      <c r="H259" s="890"/>
      <c r="I259" s="890"/>
      <c r="J259" s="890"/>
      <c r="K259" s="869"/>
    </row>
    <row r="260" spans="1:11" ht="44.25" customHeight="1">
      <c r="A260" s="869"/>
      <c r="B260" s="888"/>
      <c r="C260" s="889"/>
      <c r="D260" s="889"/>
      <c r="E260" s="889"/>
      <c r="F260" s="890"/>
      <c r="G260" s="890"/>
      <c r="H260" s="890"/>
      <c r="I260" s="890"/>
      <c r="J260" s="890"/>
      <c r="K260" s="869"/>
    </row>
    <row r="261" spans="1:11" ht="44.25" customHeight="1">
      <c r="A261" s="869"/>
      <c r="B261" s="888"/>
      <c r="C261" s="889"/>
      <c r="D261" s="889"/>
      <c r="E261" s="889"/>
      <c r="F261" s="890"/>
      <c r="G261" s="890"/>
      <c r="H261" s="890"/>
      <c r="I261" s="890"/>
      <c r="J261" s="890"/>
      <c r="K261" s="869"/>
    </row>
    <row r="262" spans="1:11" ht="44.25" customHeight="1">
      <c r="A262" s="869"/>
      <c r="B262" s="888"/>
      <c r="C262" s="889"/>
      <c r="D262" s="889"/>
      <c r="E262" s="889"/>
      <c r="F262" s="890"/>
      <c r="G262" s="890"/>
      <c r="H262" s="890"/>
      <c r="I262" s="890"/>
      <c r="J262" s="890"/>
      <c r="K262" s="869"/>
    </row>
    <row r="263" spans="1:11" ht="44.25" customHeight="1">
      <c r="A263" s="869"/>
      <c r="B263" s="888"/>
      <c r="C263" s="889"/>
      <c r="D263" s="889"/>
      <c r="E263" s="889"/>
      <c r="F263" s="890"/>
      <c r="G263" s="890"/>
      <c r="H263" s="890"/>
      <c r="I263" s="890"/>
      <c r="J263" s="890"/>
      <c r="K263" s="869"/>
    </row>
    <row r="264" spans="1:11" ht="44.25" customHeight="1">
      <c r="A264" s="869"/>
      <c r="B264" s="888"/>
      <c r="C264" s="889"/>
      <c r="D264" s="889"/>
      <c r="E264" s="889"/>
      <c r="F264" s="890"/>
      <c r="G264" s="890"/>
      <c r="H264" s="890"/>
      <c r="I264" s="890"/>
      <c r="J264" s="890"/>
      <c r="K264" s="869"/>
    </row>
    <row r="265" spans="1:11" ht="44.25" customHeight="1">
      <c r="A265" s="869"/>
      <c r="B265" s="888"/>
      <c r="C265" s="889"/>
      <c r="D265" s="889"/>
      <c r="E265" s="889"/>
      <c r="F265" s="890"/>
      <c r="G265" s="890"/>
      <c r="H265" s="890"/>
      <c r="I265" s="890"/>
      <c r="J265" s="890"/>
      <c r="K265" s="869"/>
    </row>
    <row r="266" spans="1:11" ht="44.25" customHeight="1">
      <c r="A266" s="869"/>
      <c r="B266" s="888"/>
      <c r="C266" s="889"/>
      <c r="D266" s="889"/>
      <c r="E266" s="889"/>
      <c r="F266" s="890"/>
      <c r="G266" s="890"/>
      <c r="H266" s="890"/>
      <c r="I266" s="890"/>
      <c r="J266" s="890"/>
      <c r="K266" s="869"/>
    </row>
    <row r="267" spans="1:11" ht="44.25" customHeight="1">
      <c r="A267" s="869"/>
      <c r="B267" s="888"/>
      <c r="C267" s="889"/>
      <c r="D267" s="889"/>
      <c r="E267" s="889"/>
      <c r="F267" s="890"/>
      <c r="G267" s="890"/>
      <c r="H267" s="890"/>
      <c r="I267" s="890"/>
      <c r="J267" s="890"/>
      <c r="K267" s="869"/>
    </row>
    <row r="268" spans="1:11" ht="44.25" customHeight="1">
      <c r="A268" s="869"/>
      <c r="B268" s="888"/>
      <c r="C268" s="889"/>
      <c r="D268" s="889"/>
      <c r="E268" s="889"/>
      <c r="F268" s="890"/>
      <c r="G268" s="890"/>
      <c r="H268" s="890"/>
      <c r="I268" s="890"/>
      <c r="J268" s="890"/>
      <c r="K268" s="869"/>
    </row>
    <row r="269" spans="1:11" ht="44.25" customHeight="1">
      <c r="A269" s="869"/>
      <c r="B269" s="888"/>
      <c r="C269" s="889"/>
      <c r="D269" s="889"/>
      <c r="E269" s="889"/>
      <c r="F269" s="890"/>
      <c r="G269" s="890"/>
      <c r="H269" s="890"/>
      <c r="I269" s="890"/>
      <c r="J269" s="890"/>
      <c r="K269" s="869"/>
    </row>
    <row r="270" spans="1:11" ht="44.25" customHeight="1">
      <c r="A270" s="869"/>
      <c r="B270" s="888"/>
      <c r="C270" s="889"/>
      <c r="D270" s="889"/>
      <c r="E270" s="889"/>
      <c r="F270" s="890"/>
      <c r="G270" s="890"/>
      <c r="H270" s="890"/>
      <c r="I270" s="890"/>
      <c r="J270" s="890"/>
      <c r="K270" s="869"/>
    </row>
    <row r="271" spans="1:11" ht="44.25" customHeight="1">
      <c r="A271" s="869"/>
      <c r="B271" s="888"/>
      <c r="C271" s="889"/>
      <c r="D271" s="889"/>
      <c r="E271" s="889"/>
      <c r="F271" s="890"/>
      <c r="G271" s="890"/>
      <c r="H271" s="890"/>
      <c r="I271" s="890"/>
      <c r="J271" s="890"/>
      <c r="K271" s="869"/>
    </row>
    <row r="272" spans="1:11" ht="44.25" customHeight="1">
      <c r="A272" s="869"/>
      <c r="B272" s="888"/>
      <c r="C272" s="889"/>
      <c r="D272" s="889"/>
      <c r="E272" s="889"/>
      <c r="F272" s="890"/>
      <c r="G272" s="890"/>
      <c r="H272" s="890"/>
      <c r="I272" s="890"/>
      <c r="J272" s="890"/>
      <c r="K272" s="869"/>
    </row>
    <row r="273" spans="1:11" ht="44.25" customHeight="1">
      <c r="A273" s="869"/>
      <c r="B273" s="888"/>
      <c r="C273" s="889"/>
      <c r="D273" s="889"/>
      <c r="E273" s="889"/>
      <c r="F273" s="890"/>
      <c r="G273" s="890"/>
      <c r="H273" s="890"/>
      <c r="I273" s="890"/>
      <c r="J273" s="890"/>
      <c r="K273" s="869"/>
    </row>
    <row r="274" spans="1:11" ht="44.25" customHeight="1">
      <c r="A274" s="869"/>
      <c r="B274" s="888"/>
      <c r="C274" s="889"/>
      <c r="D274" s="889"/>
      <c r="E274" s="889"/>
      <c r="F274" s="890"/>
      <c r="G274" s="890"/>
      <c r="H274" s="890"/>
      <c r="I274" s="890"/>
      <c r="J274" s="890"/>
      <c r="K274" s="869"/>
    </row>
  </sheetData>
  <sheetProtection/>
  <mergeCells count="3">
    <mergeCell ref="B2:K2"/>
    <mergeCell ref="B3:K3"/>
    <mergeCell ref="J1:K1"/>
  </mergeCells>
  <printOptions horizontalCentered="1"/>
  <pageMargins left="0.59" right="0.47244094488189" top="0.67" bottom="0.69" header="0.118110236220472" footer="0.24"/>
  <pageSetup fitToHeight="0" fitToWidth="1" horizontalDpi="600" verticalDpi="600" orientation="landscape" paperSize="9" scale="79" r:id="rId3"/>
  <headerFooter alignWithMargins="0">
    <oddFooter>&amp;R&amp;P/&amp;N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2"/>
  <sheetViews>
    <sheetView zoomScale="70" zoomScaleNormal="70" zoomScaleSheetLayoutView="100" zoomScalePageLayoutView="0" workbookViewId="0" topLeftCell="A1">
      <selection activeCell="J18" sqref="J18"/>
    </sheetView>
  </sheetViews>
  <sheetFormatPr defaultColWidth="9.140625" defaultRowHeight="12.75"/>
  <cols>
    <col min="1" max="1" width="4.421875" style="698" customWidth="1"/>
    <col min="2" max="2" width="33.140625" style="699" customWidth="1"/>
    <col min="3" max="3" width="14.421875" style="700" customWidth="1"/>
    <col min="4" max="4" width="13.28125" style="701" customWidth="1"/>
    <col min="5" max="6" width="13.28125" style="700" customWidth="1"/>
    <col min="7" max="7" width="13.28125" style="699" customWidth="1"/>
    <col min="8" max="9" width="13.28125" style="702" customWidth="1"/>
    <col min="10" max="10" width="15.00390625" style="703" customWidth="1"/>
    <col min="11" max="11" width="20.8515625" style="704" customWidth="1"/>
    <col min="12" max="12" width="20.140625" style="641" customWidth="1"/>
    <col min="13" max="13" width="10.7109375" style="641" bestFit="1" customWidth="1"/>
    <col min="14" max="16384" width="9.140625" style="641" customWidth="1"/>
  </cols>
  <sheetData>
    <row r="1" spans="2:10" s="920" customFormat="1" ht="36.75" customHeight="1">
      <c r="B1" s="859" t="s">
        <v>568</v>
      </c>
      <c r="C1" s="921"/>
      <c r="D1" s="923"/>
      <c r="E1" s="921"/>
      <c r="H1" s="922" t="s">
        <v>342</v>
      </c>
      <c r="I1" s="1217" t="s">
        <v>331</v>
      </c>
      <c r="J1" s="1217"/>
    </row>
    <row r="2" spans="2:11" s="805" customFormat="1" ht="17.25" customHeight="1">
      <c r="B2" s="1223" t="s">
        <v>706</v>
      </c>
      <c r="C2" s="1223"/>
      <c r="D2" s="1223"/>
      <c r="E2" s="1223"/>
      <c r="F2" s="1223"/>
      <c r="G2" s="1223"/>
      <c r="H2" s="1223"/>
      <c r="I2" s="1223"/>
      <c r="J2" s="1223"/>
      <c r="K2" s="835"/>
    </row>
    <row r="3" spans="1:16" ht="36.75" customHeight="1">
      <c r="A3" s="1221" t="s">
        <v>569</v>
      </c>
      <c r="B3" s="1222"/>
      <c r="C3" s="1222"/>
      <c r="D3" s="1222"/>
      <c r="E3" s="1222"/>
      <c r="F3" s="1222"/>
      <c r="G3" s="1222"/>
      <c r="H3" s="1222"/>
      <c r="I3" s="1222"/>
      <c r="J3" s="1222"/>
      <c r="K3" s="415"/>
      <c r="L3" s="641">
        <v>1.28333606566</v>
      </c>
      <c r="M3" s="641">
        <v>1.3</v>
      </c>
      <c r="N3" s="641">
        <v>1.44318272445398</v>
      </c>
      <c r="O3" s="641">
        <v>1.52322469002035</v>
      </c>
      <c r="P3" s="641">
        <v>1.75502253433976</v>
      </c>
    </row>
    <row r="4" spans="1:16" ht="26.25" customHeight="1">
      <c r="A4" s="642"/>
      <c r="B4" s="643"/>
      <c r="C4" s="644"/>
      <c r="D4" s="645"/>
      <c r="E4" s="644"/>
      <c r="F4" s="644"/>
      <c r="G4" s="646"/>
      <c r="H4" s="647"/>
      <c r="I4" s="647"/>
      <c r="J4" s="648" t="s">
        <v>570</v>
      </c>
      <c r="K4" s="649"/>
      <c r="L4" s="641">
        <f>L3*1000</f>
        <v>1283.3360656599998</v>
      </c>
      <c r="M4" s="641">
        <f>M3*1000</f>
        <v>1300</v>
      </c>
      <c r="N4" s="641">
        <f>N3*1000</f>
        <v>1443.1827244539802</v>
      </c>
      <c r="O4" s="641">
        <f>O3*1000</f>
        <v>1523.2246900203502</v>
      </c>
      <c r="P4" s="641">
        <f>P3*1000</f>
        <v>1755.02253433976</v>
      </c>
    </row>
    <row r="5" spans="1:11" s="654" customFormat="1" ht="49.5">
      <c r="A5" s="650"/>
      <c r="B5" s="651" t="s">
        <v>277</v>
      </c>
      <c r="C5" s="808" t="s">
        <v>332</v>
      </c>
      <c r="D5" s="372" t="s">
        <v>571</v>
      </c>
      <c r="E5" s="808" t="s">
        <v>333</v>
      </c>
      <c r="F5" s="808" t="s">
        <v>334</v>
      </c>
      <c r="G5" s="808" t="s">
        <v>335</v>
      </c>
      <c r="H5" s="808" t="s">
        <v>336</v>
      </c>
      <c r="I5" s="808" t="s">
        <v>337</v>
      </c>
      <c r="J5" s="652" t="s">
        <v>338</v>
      </c>
      <c r="K5" s="653"/>
    </row>
    <row r="6" spans="1:11" s="660" customFormat="1" ht="62.25" customHeight="1" hidden="1">
      <c r="A6" s="655"/>
      <c r="B6" s="651" t="s">
        <v>215</v>
      </c>
      <c r="C6" s="656"/>
      <c r="D6" s="372"/>
      <c r="E6" s="656"/>
      <c r="F6" s="656"/>
      <c r="G6" s="657"/>
      <c r="H6" s="657"/>
      <c r="I6" s="657"/>
      <c r="J6" s="658"/>
      <c r="K6" s="659"/>
    </row>
    <row r="7" spans="1:11" s="666" customFormat="1" ht="62.25" customHeight="1" hidden="1">
      <c r="A7" s="655" t="s">
        <v>3</v>
      </c>
      <c r="B7" s="661" t="s">
        <v>274</v>
      </c>
      <c r="C7" s="662"/>
      <c r="D7" s="663"/>
      <c r="E7" s="664"/>
      <c r="F7" s="662"/>
      <c r="G7" s="657"/>
      <c r="H7" s="657"/>
      <c r="I7" s="657"/>
      <c r="J7" s="658"/>
      <c r="K7" s="665"/>
    </row>
    <row r="8" spans="1:11" ht="66" hidden="1">
      <c r="A8" s="667"/>
      <c r="B8" s="668" t="s">
        <v>273</v>
      </c>
      <c r="C8" s="669"/>
      <c r="D8" s="670"/>
      <c r="E8" s="671"/>
      <c r="F8" s="669"/>
      <c r="G8" s="672">
        <f>+'[4]cc2006'!C7+'[4]cc2006'!C8</f>
        <v>120</v>
      </c>
      <c r="H8" s="672">
        <f>+'[4]cc2007'!C8</f>
        <v>220</v>
      </c>
      <c r="I8" s="672">
        <f>+'[4]cc2008'!C8</f>
        <v>200</v>
      </c>
      <c r="J8" s="673"/>
      <c r="K8" s="674"/>
    </row>
    <row r="9" spans="1:11" ht="49.5" hidden="1">
      <c r="A9" s="667"/>
      <c r="B9" s="668" t="s">
        <v>272</v>
      </c>
      <c r="C9" s="669"/>
      <c r="D9" s="670"/>
      <c r="E9" s="671"/>
      <c r="F9" s="669"/>
      <c r="G9" s="672">
        <f>+'[4]cc2006'!C9</f>
        <v>300</v>
      </c>
      <c r="H9" s="672">
        <f>+'[4]cc2007'!C9</f>
        <v>200</v>
      </c>
      <c r="I9" s="672">
        <f>+'[4]cc2008'!C9</f>
        <v>200</v>
      </c>
      <c r="J9" s="673"/>
      <c r="K9" s="674"/>
    </row>
    <row r="10" spans="1:11" ht="33" hidden="1">
      <c r="A10" s="667"/>
      <c r="B10" s="668" t="s">
        <v>271</v>
      </c>
      <c r="C10" s="669"/>
      <c r="D10" s="670"/>
      <c r="E10" s="671"/>
      <c r="F10" s="669"/>
      <c r="G10" s="672">
        <f>+'[4]cc2006'!C10</f>
        <v>2000</v>
      </c>
      <c r="H10" s="672">
        <f>+'[4]cc2007'!C10</f>
        <v>2500</v>
      </c>
      <c r="I10" s="672">
        <f>+'[4]cc2008'!C10</f>
        <v>2300</v>
      </c>
      <c r="J10" s="673"/>
      <c r="K10" s="674"/>
    </row>
    <row r="11" spans="1:11" ht="16.5" hidden="1">
      <c r="A11" s="667"/>
      <c r="B11" s="675" t="s">
        <v>270</v>
      </c>
      <c r="C11" s="669"/>
      <c r="D11" s="670"/>
      <c r="E11" s="669"/>
      <c r="F11" s="669"/>
      <c r="G11" s="672"/>
      <c r="H11" s="672"/>
      <c r="I11" s="672">
        <f>+'[4]cc2008'!C11</f>
        <v>120</v>
      </c>
      <c r="J11" s="673"/>
      <c r="K11" s="674"/>
    </row>
    <row r="12" spans="1:11" ht="33" hidden="1">
      <c r="A12" s="667"/>
      <c r="B12" s="676" t="s">
        <v>269</v>
      </c>
      <c r="C12" s="677"/>
      <c r="D12" s="678"/>
      <c r="E12" s="677"/>
      <c r="F12" s="677"/>
      <c r="G12" s="672"/>
      <c r="H12" s="672"/>
      <c r="I12" s="672"/>
      <c r="J12" s="673"/>
      <c r="K12" s="674"/>
    </row>
    <row r="13" spans="1:11" ht="99" hidden="1">
      <c r="A13" s="667"/>
      <c r="B13" s="676" t="s">
        <v>268</v>
      </c>
      <c r="C13" s="677"/>
      <c r="D13" s="678"/>
      <c r="E13" s="677"/>
      <c r="F13" s="677"/>
      <c r="G13" s="672">
        <f>+'[4]cc2006'!C11</f>
        <v>150</v>
      </c>
      <c r="H13" s="672" t="e">
        <f>+'[4]cc2007'!C11</f>
        <v>#REF!</v>
      </c>
      <c r="I13" s="672"/>
      <c r="J13" s="673"/>
      <c r="K13" s="674"/>
    </row>
    <row r="14" spans="1:11" ht="16.5" hidden="1">
      <c r="A14" s="667"/>
      <c r="B14" s="676" t="s">
        <v>267</v>
      </c>
      <c r="C14" s="677"/>
      <c r="D14" s="678"/>
      <c r="E14" s="677"/>
      <c r="F14" s="677"/>
      <c r="G14" s="672"/>
      <c r="H14" s="672">
        <f>+'[4]cc2007'!C13</f>
        <v>100</v>
      </c>
      <c r="I14" s="672"/>
      <c r="J14" s="673"/>
      <c r="K14" s="674"/>
    </row>
    <row r="15" spans="1:11" ht="16.5" hidden="1">
      <c r="A15" s="667"/>
      <c r="B15" s="675" t="s">
        <v>266</v>
      </c>
      <c r="C15" s="669"/>
      <c r="D15" s="670"/>
      <c r="E15" s="669"/>
      <c r="F15" s="669"/>
      <c r="G15" s="672"/>
      <c r="H15" s="672">
        <f>+'[4]cc2007'!C12</f>
        <v>1000</v>
      </c>
      <c r="I15" s="672">
        <f>+'[4]cc2008'!C12</f>
        <v>600</v>
      </c>
      <c r="J15" s="673"/>
      <c r="K15" s="674"/>
    </row>
    <row r="16" spans="1:11" ht="16.5" hidden="1">
      <c r="A16" s="667"/>
      <c r="B16" s="675"/>
      <c r="C16" s="669"/>
      <c r="D16" s="670"/>
      <c r="E16" s="669">
        <f>E17-E18</f>
        <v>0.01984406900464819</v>
      </c>
      <c r="F16" s="669">
        <f>F17-F18</f>
        <v>-0.03981119955187751</v>
      </c>
      <c r="G16" s="669">
        <f>G17-G18</f>
        <v>-0.02733060507944174</v>
      </c>
      <c r="H16" s="669">
        <f>H17-H18</f>
        <v>0.042558533106785035</v>
      </c>
      <c r="I16" s="669">
        <f>I17-I18</f>
        <v>-5.714045760429144</v>
      </c>
      <c r="J16" s="673"/>
      <c r="K16" s="674"/>
    </row>
    <row r="17" spans="1:11" ht="33.75" customHeight="1" hidden="1">
      <c r="A17" s="667"/>
      <c r="B17" s="675"/>
      <c r="C17" s="669"/>
      <c r="D17" s="670"/>
      <c r="E17" s="669">
        <v>4118.925</v>
      </c>
      <c r="F17" s="669">
        <v>4835.3355</v>
      </c>
      <c r="G17" s="672">
        <v>5667.849693</v>
      </c>
      <c r="H17" s="672">
        <v>6656.90124033</v>
      </c>
      <c r="I17" s="672">
        <v>7811.074600196</v>
      </c>
      <c r="J17" s="673">
        <f>SUM(E17:I17)</f>
        <v>29090.086033526</v>
      </c>
      <c r="K17" s="674">
        <f>J17-J18</f>
        <v>-0.038784962951467605</v>
      </c>
    </row>
    <row r="18" spans="1:12" s="666" customFormat="1" ht="24.75" customHeight="1">
      <c r="A18" s="655"/>
      <c r="B18" s="679" t="s">
        <v>215</v>
      </c>
      <c r="C18" s="836">
        <f>C19+C31+C51+C53</f>
        <v>18303.211135588386</v>
      </c>
      <c r="D18" s="836">
        <f aca="true" t="shared" si="0" ref="D18:J18">D19+D31+D51+D53</f>
        <v>3515.148864328398</v>
      </c>
      <c r="E18" s="836">
        <f t="shared" si="0"/>
        <v>4118.9051559309955</v>
      </c>
      <c r="F18" s="836">
        <f t="shared" si="0"/>
        <v>4835.375311199552</v>
      </c>
      <c r="G18" s="836">
        <f t="shared" si="0"/>
        <v>5667.87702360508</v>
      </c>
      <c r="H18" s="836">
        <f t="shared" si="0"/>
        <v>6656.8586817968935</v>
      </c>
      <c r="I18" s="836">
        <f t="shared" si="0"/>
        <v>7816.788645956429</v>
      </c>
      <c r="J18" s="993">
        <f t="shared" si="0"/>
        <v>29090.124818488952</v>
      </c>
      <c r="K18" s="659"/>
      <c r="L18" s="944"/>
    </row>
    <row r="19" spans="1:13" s="660" customFormat="1" ht="36" customHeight="1">
      <c r="A19" s="655" t="s">
        <v>101</v>
      </c>
      <c r="B19" s="679" t="s">
        <v>265</v>
      </c>
      <c r="C19" s="837">
        <f>C21+C23+C25+C27+C29</f>
        <v>9848.005114667321</v>
      </c>
      <c r="D19" s="837">
        <f>D21+D23+D25+D27+D29</f>
        <v>1733.5829749460347</v>
      </c>
      <c r="E19" s="837">
        <f aca="true" t="shared" si="1" ref="E19:J19">E21+E23+E25+E27+E29</f>
        <v>2150.192437365087</v>
      </c>
      <c r="F19" s="837">
        <f t="shared" si="1"/>
        <v>2570.4931435206477</v>
      </c>
      <c r="G19" s="837">
        <f t="shared" si="1"/>
        <v>3050.6909152809717</v>
      </c>
      <c r="H19" s="837">
        <f t="shared" si="1"/>
        <v>3612.7627729214573</v>
      </c>
      <c r="I19" s="837">
        <f t="shared" si="1"/>
        <v>4204.799055382186</v>
      </c>
      <c r="J19" s="837">
        <f t="shared" si="1"/>
        <v>15583.258324470351</v>
      </c>
      <c r="K19" s="665"/>
      <c r="L19" s="838"/>
      <c r="M19" s="839"/>
    </row>
    <row r="20" spans="1:11" s="683" customFormat="1" ht="24.75" customHeight="1">
      <c r="A20" s="680"/>
      <c r="B20" s="681" t="s">
        <v>217</v>
      </c>
      <c r="C20" s="840"/>
      <c r="D20" s="846"/>
      <c r="E20" s="841">
        <f aca="true" t="shared" si="2" ref="E20:J20">E19/E18*100</f>
        <v>52.20300919696898</v>
      </c>
      <c r="F20" s="841">
        <f t="shared" si="2"/>
        <v>53.160157755840544</v>
      </c>
      <c r="G20" s="841">
        <f t="shared" si="2"/>
        <v>53.82422558880019</v>
      </c>
      <c r="H20" s="841">
        <f t="shared" si="2"/>
        <v>54.27128538571079</v>
      </c>
      <c r="I20" s="841">
        <f t="shared" si="2"/>
        <v>53.79189902438133</v>
      </c>
      <c r="J20" s="841">
        <f t="shared" si="2"/>
        <v>53.56889467372111</v>
      </c>
      <c r="K20" s="682"/>
    </row>
    <row r="21" spans="1:11" ht="31.5" customHeight="1">
      <c r="A21" s="667">
        <v>1</v>
      </c>
      <c r="B21" s="675" t="s">
        <v>264</v>
      </c>
      <c r="C21" s="841">
        <v>243.4328594643723</v>
      </c>
      <c r="D21" s="847">
        <v>40.13297494603495</v>
      </c>
      <c r="E21" s="841">
        <f>100.332437365087+10.8</f>
        <v>111.132437365087</v>
      </c>
      <c r="F21" s="841">
        <f>E21*1.7+7.3</f>
        <v>196.22514352064792</v>
      </c>
      <c r="G21" s="841">
        <f>F21*1.5-18.1</f>
        <v>276.2377152809719</v>
      </c>
      <c r="H21" s="841">
        <f>G21*1.5-48.7</f>
        <v>365.65657292145784</v>
      </c>
      <c r="I21" s="841">
        <f>H21*1.5+25.1-180.2+5.7</f>
        <v>399.0848593821868</v>
      </c>
      <c r="J21" s="842">
        <f>SUM(E21:I21)</f>
        <v>1348.3367284703513</v>
      </c>
      <c r="K21" s="674"/>
    </row>
    <row r="22" spans="1:11" s="683" customFormat="1" ht="33" customHeight="1">
      <c r="A22" s="680"/>
      <c r="B22" s="681" t="s">
        <v>217</v>
      </c>
      <c r="C22" s="841">
        <f aca="true" t="shared" si="3" ref="C22:J22">C21/C18*100</f>
        <v>1.3300008269644363</v>
      </c>
      <c r="D22" s="841">
        <v>0.9766151406844947</v>
      </c>
      <c r="E22" s="841">
        <f t="shared" si="3"/>
        <v>2.6981062480902827</v>
      </c>
      <c r="F22" s="841">
        <f t="shared" si="3"/>
        <v>4.0581160901028115</v>
      </c>
      <c r="G22" s="841">
        <f t="shared" si="3"/>
        <v>4.873742216539299</v>
      </c>
      <c r="H22" s="841">
        <f t="shared" si="3"/>
        <v>5.492929779647294</v>
      </c>
      <c r="I22" s="841">
        <f t="shared" si="3"/>
        <v>5.10548356182856</v>
      </c>
      <c r="J22" s="841">
        <f t="shared" si="3"/>
        <v>4.635032461646168</v>
      </c>
      <c r="K22" s="682"/>
    </row>
    <row r="23" spans="1:11" ht="32.25" customHeight="1">
      <c r="A23" s="667">
        <f>+A21+1</f>
        <v>2</v>
      </c>
      <c r="B23" s="675" t="s">
        <v>263</v>
      </c>
      <c r="C23" s="841">
        <v>3535.1</v>
      </c>
      <c r="D23" s="847">
        <v>602.3</v>
      </c>
      <c r="E23" s="841">
        <f>D23*1.2</f>
        <v>722.7599999999999</v>
      </c>
      <c r="F23" s="841">
        <f>E23*1.1</f>
        <v>795.036</v>
      </c>
      <c r="G23" s="841">
        <f>F23*1.1</f>
        <v>874.5396000000001</v>
      </c>
      <c r="H23" s="841">
        <f>G23*1.1</f>
        <v>961.9935600000001</v>
      </c>
      <c r="I23" s="841">
        <f>H23*1.1</f>
        <v>1058.1929160000002</v>
      </c>
      <c r="J23" s="842">
        <f>SUM(E23:I23)</f>
        <v>4412.522076</v>
      </c>
      <c r="K23" s="674"/>
    </row>
    <row r="24" spans="1:11" s="683" customFormat="1" ht="28.5" customHeight="1">
      <c r="A24" s="680"/>
      <c r="B24" s="681" t="s">
        <v>217</v>
      </c>
      <c r="C24" s="841">
        <f>C23/C18*100</f>
        <v>19.31409725764691</v>
      </c>
      <c r="D24" s="841">
        <v>19.036762526237286</v>
      </c>
      <c r="E24" s="841">
        <f aca="true" t="shared" si="4" ref="E24:J24">E23/E18*100</f>
        <v>17.547381467603486</v>
      </c>
      <c r="F24" s="841">
        <f t="shared" si="4"/>
        <v>16.442074272054153</v>
      </c>
      <c r="G24" s="841">
        <f t="shared" si="4"/>
        <v>15.429756086058216</v>
      </c>
      <c r="H24" s="841">
        <f t="shared" si="4"/>
        <v>14.451163919561052</v>
      </c>
      <c r="I24" s="841">
        <f t="shared" si="4"/>
        <v>13.53743799312517</v>
      </c>
      <c r="J24" s="841">
        <f t="shared" si="4"/>
        <v>15.168453568117771</v>
      </c>
      <c r="K24" s="682"/>
    </row>
    <row r="25" spans="1:11" ht="29.25" customHeight="1">
      <c r="A25" s="667">
        <f>+A23+1</f>
        <v>3</v>
      </c>
      <c r="B25" s="675" t="s">
        <v>262</v>
      </c>
      <c r="C25" s="841">
        <v>6001.108255202949</v>
      </c>
      <c r="D25" s="847">
        <v>1087.6</v>
      </c>
      <c r="E25" s="841">
        <f>D25*1.2</f>
        <v>1305.12</v>
      </c>
      <c r="F25" s="841">
        <f>E25*1.2</f>
        <v>1566.1439999999998</v>
      </c>
      <c r="G25" s="841">
        <f>F25*1.2</f>
        <v>1879.3727999999996</v>
      </c>
      <c r="H25" s="841">
        <f>G25*1.2</f>
        <v>2255.2473599999994</v>
      </c>
      <c r="I25" s="841">
        <f>H25*1.2</f>
        <v>2706.296831999999</v>
      </c>
      <c r="J25" s="842">
        <f>SUM(E25:I25)</f>
        <v>9712.180991999998</v>
      </c>
      <c r="K25" s="674"/>
    </row>
    <row r="26" spans="1:11" s="683" customFormat="1" ht="24.75" customHeight="1">
      <c r="A26" s="680"/>
      <c r="B26" s="684" t="s">
        <v>217</v>
      </c>
      <c r="C26" s="840">
        <f>C25/C18*100</f>
        <v>32.78718805540367</v>
      </c>
      <c r="D26" s="840">
        <v>34.33574090141268</v>
      </c>
      <c r="E26" s="840">
        <f aca="true" t="shared" si="5" ref="E26:J26">E25/E18*100</f>
        <v>31.68609012811813</v>
      </c>
      <c r="F26" s="840">
        <f t="shared" si="5"/>
        <v>32.38929553973905</v>
      </c>
      <c r="G26" s="840">
        <f t="shared" si="5"/>
        <v>33.158319987765296</v>
      </c>
      <c r="H26" s="840">
        <f t="shared" si="5"/>
        <v>33.87855244947513</v>
      </c>
      <c r="I26" s="840">
        <f t="shared" si="5"/>
        <v>34.62159404041131</v>
      </c>
      <c r="J26" s="840">
        <f t="shared" si="5"/>
        <v>33.38652223942051</v>
      </c>
      <c r="K26" s="682"/>
    </row>
    <row r="27" spans="1:11" ht="30" customHeight="1">
      <c r="A27" s="667">
        <f>+A25+1</f>
        <v>4</v>
      </c>
      <c r="B27" s="675" t="s">
        <v>228</v>
      </c>
      <c r="C27" s="841">
        <v>68.364</v>
      </c>
      <c r="D27" s="847">
        <v>3.55</v>
      </c>
      <c r="E27" s="841">
        <f>D27*1.6</f>
        <v>5.68</v>
      </c>
      <c r="F27" s="841">
        <f>E27*1.6</f>
        <v>9.088</v>
      </c>
      <c r="G27" s="841">
        <f>F27*1.6</f>
        <v>14.540799999999999</v>
      </c>
      <c r="H27" s="841">
        <f>G27*1.6</f>
        <v>23.26528</v>
      </c>
      <c r="I27" s="841">
        <f>H27*1.6</f>
        <v>37.224448</v>
      </c>
      <c r="J27" s="842">
        <f>F27+G27+H27+I27</f>
        <v>84.118528</v>
      </c>
      <c r="K27" s="674"/>
    </row>
    <row r="28" spans="1:11" s="683" customFormat="1" ht="24.75" customHeight="1">
      <c r="A28" s="680"/>
      <c r="B28" s="684" t="s">
        <v>217</v>
      </c>
      <c r="C28" s="840">
        <f>C27/C18*100</f>
        <v>0.3735082302966743</v>
      </c>
      <c r="D28" s="840">
        <v>0.08638740970715121</v>
      </c>
      <c r="E28" s="840">
        <f aca="true" t="shared" si="6" ref="E28:J28">E27/E18*100</f>
        <v>0.13790072324974792</v>
      </c>
      <c r="F28" s="840">
        <f t="shared" si="6"/>
        <v>0.18794818220109294</v>
      </c>
      <c r="G28" s="840">
        <f t="shared" si="6"/>
        <v>0.2565475563326753</v>
      </c>
      <c r="H28" s="840">
        <f t="shared" si="6"/>
        <v>0.34949337385843343</v>
      </c>
      <c r="I28" s="840">
        <f t="shared" si="6"/>
        <v>0.4762115196661477</v>
      </c>
      <c r="J28" s="840">
        <f t="shared" si="6"/>
        <v>0.2891652357109736</v>
      </c>
      <c r="K28" s="682"/>
    </row>
    <row r="29" spans="1:11" ht="27" customHeight="1">
      <c r="A29" s="667">
        <f>+A27+1</f>
        <v>5</v>
      </c>
      <c r="B29" s="675" t="s">
        <v>261</v>
      </c>
      <c r="C29" s="841">
        <f>'[5]BM10'!$J$35</f>
        <v>0</v>
      </c>
      <c r="D29" s="847">
        <v>0</v>
      </c>
      <c r="E29" s="841">
        <v>5.5</v>
      </c>
      <c r="F29" s="841">
        <v>4</v>
      </c>
      <c r="G29" s="841">
        <v>6</v>
      </c>
      <c r="H29" s="841">
        <v>6.6</v>
      </c>
      <c r="I29" s="841">
        <v>4</v>
      </c>
      <c r="J29" s="842">
        <f>SUM(E29:I29)</f>
        <v>26.1</v>
      </c>
      <c r="K29" s="674"/>
    </row>
    <row r="30" spans="1:11" s="683" customFormat="1" ht="30" customHeight="1">
      <c r="A30" s="680"/>
      <c r="B30" s="684" t="s">
        <v>217</v>
      </c>
      <c r="C30" s="840">
        <f>C29/C18*100</f>
        <v>0</v>
      </c>
      <c r="D30" s="840">
        <f aca="true" t="shared" si="7" ref="D30:J30">D29/D18*100</f>
        <v>0</v>
      </c>
      <c r="E30" s="840">
        <f t="shared" si="7"/>
        <v>0.1335306299073263</v>
      </c>
      <c r="F30" s="840">
        <f t="shared" si="7"/>
        <v>0.0827236717434388</v>
      </c>
      <c r="G30" s="840">
        <f t="shared" si="7"/>
        <v>0.10585974210470205</v>
      </c>
      <c r="H30" s="840">
        <f t="shared" si="7"/>
        <v>0.09914586316887913</v>
      </c>
      <c r="I30" s="840">
        <f t="shared" si="7"/>
        <v>0.051171909350129004</v>
      </c>
      <c r="J30" s="840">
        <f t="shared" si="7"/>
        <v>0.08972116882568856</v>
      </c>
      <c r="K30" s="682"/>
    </row>
    <row r="31" spans="1:11" s="660" customFormat="1" ht="30.75" customHeight="1">
      <c r="A31" s="655" t="s">
        <v>102</v>
      </c>
      <c r="B31" s="679" t="s">
        <v>260</v>
      </c>
      <c r="C31" s="837">
        <f aca="true" t="shared" si="8" ref="C31:J31">C33+C35+C37+C39+C41+C43+C45+C47+C49</f>
        <v>6627.206020921064</v>
      </c>
      <c r="D31" s="837">
        <f t="shared" si="8"/>
        <v>1623.9658893823632</v>
      </c>
      <c r="E31" s="836">
        <f t="shared" si="8"/>
        <v>1770.442718565909</v>
      </c>
      <c r="F31" s="836">
        <f t="shared" si="8"/>
        <v>1967.4771676789044</v>
      </c>
      <c r="G31" s="836">
        <f t="shared" si="8"/>
        <v>2198.528608324107</v>
      </c>
      <c r="H31" s="836">
        <f t="shared" si="8"/>
        <v>2446.304658875436</v>
      </c>
      <c r="I31" s="836">
        <f t="shared" si="8"/>
        <v>2748.517215574243</v>
      </c>
      <c r="J31" s="836">
        <f t="shared" si="8"/>
        <v>11131.270369018599</v>
      </c>
      <c r="K31" s="665"/>
    </row>
    <row r="32" spans="1:11" s="683" customFormat="1" ht="29.25" customHeight="1">
      <c r="A32" s="680"/>
      <c r="B32" s="684" t="s">
        <v>217</v>
      </c>
      <c r="C32" s="840">
        <f>C31/C18*100</f>
        <v>36.20788708509875</v>
      </c>
      <c r="D32" s="840">
        <v>43.8722348881843</v>
      </c>
      <c r="E32" s="840">
        <f aca="true" t="shared" si="9" ref="E32:J32">E31/E18*100</f>
        <v>42.98333298635366</v>
      </c>
      <c r="F32" s="840">
        <f t="shared" si="9"/>
        <v>40.6892338454451</v>
      </c>
      <c r="G32" s="840">
        <f t="shared" si="9"/>
        <v>38.78927858116658</v>
      </c>
      <c r="H32" s="840">
        <f t="shared" si="9"/>
        <v>36.74863439064478</v>
      </c>
      <c r="I32" s="840">
        <f t="shared" si="9"/>
        <v>35.16171845065853</v>
      </c>
      <c r="J32" s="840">
        <f t="shared" si="9"/>
        <v>38.26477348747518</v>
      </c>
      <c r="K32" s="682"/>
    </row>
    <row r="33" spans="1:11" ht="34.5" customHeight="1">
      <c r="A33" s="667">
        <f>+A29+1</f>
        <v>6</v>
      </c>
      <c r="B33" s="675" t="s">
        <v>258</v>
      </c>
      <c r="C33" s="841">
        <v>774.8791428272791</v>
      </c>
      <c r="D33" s="847">
        <v>211.1</v>
      </c>
      <c r="E33" s="843">
        <f>D33*1.2</f>
        <v>253.32</v>
      </c>
      <c r="F33" s="843">
        <f>E33*1.1</f>
        <v>278.652</v>
      </c>
      <c r="G33" s="843">
        <f>F33*1.1</f>
        <v>306.5172</v>
      </c>
      <c r="H33" s="843">
        <f>G33*1.1</f>
        <v>337.16892</v>
      </c>
      <c r="I33" s="843">
        <f>H33*1.1</f>
        <v>370.88581200000004</v>
      </c>
      <c r="J33" s="842">
        <f>SUM(E33:I33)</f>
        <v>1546.543932</v>
      </c>
      <c r="K33" s="674"/>
    </row>
    <row r="34" spans="1:11" s="683" customFormat="1" ht="30" customHeight="1">
      <c r="A34" s="680"/>
      <c r="B34" s="684" t="s">
        <v>217</v>
      </c>
      <c r="C34" s="840">
        <f>C33/C18*100</f>
        <v>4.233569383465287</v>
      </c>
      <c r="D34" s="840">
        <v>5.362432968032125</v>
      </c>
      <c r="E34" s="840">
        <f aca="true" t="shared" si="10" ref="E34:J34">E33/E18*100</f>
        <v>6.150178030567983</v>
      </c>
      <c r="F34" s="840">
        <f t="shared" si="10"/>
        <v>5.7627791446631775</v>
      </c>
      <c r="G34" s="840">
        <f t="shared" si="10"/>
        <v>5.40797195710923</v>
      </c>
      <c r="H34" s="840">
        <f t="shared" si="10"/>
        <v>5.064985395017994</v>
      </c>
      <c r="I34" s="840">
        <f t="shared" si="10"/>
        <v>4.744733787728247</v>
      </c>
      <c r="J34" s="840">
        <f t="shared" si="10"/>
        <v>5.316388092694107</v>
      </c>
      <c r="K34" s="682"/>
    </row>
    <row r="35" spans="1:11" ht="29.25" customHeight="1">
      <c r="A35" s="667">
        <f>+A33+1</f>
        <v>7</v>
      </c>
      <c r="B35" s="675" t="s">
        <v>572</v>
      </c>
      <c r="C35" s="841">
        <v>23.942809841251602</v>
      </c>
      <c r="D35" s="847">
        <v>10.000521528157694</v>
      </c>
      <c r="E35" s="843">
        <f>D35*1.1</f>
        <v>11.000573680973465</v>
      </c>
      <c r="F35" s="843">
        <f>E35*1.1</f>
        <v>12.100631049070813</v>
      </c>
      <c r="G35" s="843">
        <f>F35*1.1</f>
        <v>13.310694153977895</v>
      </c>
      <c r="H35" s="843">
        <f>G35*1.1</f>
        <v>14.641763569375685</v>
      </c>
      <c r="I35" s="843">
        <f>H35*1.1</f>
        <v>16.105939926313255</v>
      </c>
      <c r="J35" s="842">
        <f>SUM(E35:I35)</f>
        <v>67.15960237971112</v>
      </c>
      <c r="K35" s="674"/>
    </row>
    <row r="36" spans="1:11" s="683" customFormat="1" ht="31.5" customHeight="1">
      <c r="A36" s="680"/>
      <c r="B36" s="684" t="s">
        <v>217</v>
      </c>
      <c r="C36" s="840">
        <f>C35/C18*100</f>
        <v>0.1308120726133006</v>
      </c>
      <c r="D36" s="840">
        <v>0.2433575071938436</v>
      </c>
      <c r="E36" s="840">
        <f aca="true" t="shared" si="11" ref="E36:J36">E35/E18*100</f>
        <v>0.267075187811335</v>
      </c>
      <c r="F36" s="840">
        <f t="shared" si="11"/>
        <v>0.2502521576979494</v>
      </c>
      <c r="G36" s="840">
        <f t="shared" si="11"/>
        <v>0.23484444172911087</v>
      </c>
      <c r="H36" s="840">
        <f t="shared" si="11"/>
        <v>0.21995004354551534</v>
      </c>
      <c r="I36" s="840">
        <f t="shared" si="11"/>
        <v>0.20604292447698133</v>
      </c>
      <c r="J36" s="840">
        <f t="shared" si="11"/>
        <v>0.230867357217478</v>
      </c>
      <c r="K36" s="682"/>
    </row>
    <row r="37" spans="1:11" ht="29.25" customHeight="1">
      <c r="A37" s="667">
        <f>+A35+1</f>
        <v>8</v>
      </c>
      <c r="B37" s="685" t="s">
        <v>253</v>
      </c>
      <c r="C37" s="841">
        <v>26.15</v>
      </c>
      <c r="D37" s="847">
        <v>9.3</v>
      </c>
      <c r="E37" s="843">
        <f>D37/100*120</f>
        <v>11.160000000000002</v>
      </c>
      <c r="F37" s="843">
        <f>E37/100*150</f>
        <v>16.740000000000002</v>
      </c>
      <c r="G37" s="843">
        <f>F37/100*150</f>
        <v>25.110000000000003</v>
      </c>
      <c r="H37" s="843">
        <f>G37/100*150</f>
        <v>37.665000000000006</v>
      </c>
      <c r="I37" s="843">
        <f>H37/100*150</f>
        <v>56.49750000000001</v>
      </c>
      <c r="J37" s="842">
        <f>SUM(E37:I37)</f>
        <v>147.1725</v>
      </c>
      <c r="K37" s="674"/>
    </row>
    <row r="38" spans="1:11" s="683" customFormat="1" ht="27.75" customHeight="1">
      <c r="A38" s="680"/>
      <c r="B38" s="684" t="s">
        <v>217</v>
      </c>
      <c r="C38" s="840">
        <f>C37/C18*100</f>
        <v>0.1428711050005563</v>
      </c>
      <c r="D38" s="840">
        <f>D37/D18*100</f>
        <v>0.2645691650324133</v>
      </c>
      <c r="E38" s="840">
        <f aca="true" t="shared" si="12" ref="E38:J38">E37/E18*100</f>
        <v>0.2709457872301385</v>
      </c>
      <c r="F38" s="840">
        <f t="shared" si="12"/>
        <v>0.3461985662462914</v>
      </c>
      <c r="G38" s="840">
        <f t="shared" si="12"/>
        <v>0.4430230207081782</v>
      </c>
      <c r="H38" s="840">
        <f t="shared" si="12"/>
        <v>0.5658074145842172</v>
      </c>
      <c r="I38" s="840">
        <f t="shared" si="12"/>
        <v>0.7227712371272285</v>
      </c>
      <c r="J38" s="840">
        <f t="shared" si="12"/>
        <v>0.5059191080076112</v>
      </c>
      <c r="K38" s="682"/>
    </row>
    <row r="39" spans="1:11" ht="27.75" customHeight="1">
      <c r="A39" s="667">
        <f>+A37+1</f>
        <v>9</v>
      </c>
      <c r="B39" s="675" t="s">
        <v>234</v>
      </c>
      <c r="C39" s="841">
        <v>1515</v>
      </c>
      <c r="D39" s="847">
        <v>262.2</v>
      </c>
      <c r="E39" s="843">
        <f>D39*1.2</f>
        <v>314.64</v>
      </c>
      <c r="F39" s="843">
        <f>E39*1.2</f>
        <v>377.568</v>
      </c>
      <c r="G39" s="843">
        <f>F39*1.2</f>
        <v>453.0816</v>
      </c>
      <c r="H39" s="843">
        <f>G39*1.2</f>
        <v>543.69792</v>
      </c>
      <c r="I39" s="843">
        <f>H39*1.2</f>
        <v>652.4375039999999</v>
      </c>
      <c r="J39" s="842">
        <f>SUM(E39:I39)</f>
        <v>2341.425024</v>
      </c>
      <c r="K39" s="674"/>
    </row>
    <row r="40" spans="1:11" s="683" customFormat="1" ht="24.75" customHeight="1">
      <c r="A40" s="680"/>
      <c r="B40" s="684" t="s">
        <v>217</v>
      </c>
      <c r="C40" s="840">
        <f>C39/C18*100</f>
        <v>8.277236102326684</v>
      </c>
      <c r="D40" s="840">
        <v>8.545625123366769</v>
      </c>
      <c r="E40" s="840">
        <f>E39/E18*100</f>
        <v>7.638923162552937</v>
      </c>
      <c r="F40" s="840">
        <f>F39/F18*100</f>
        <v>7.808452823206675</v>
      </c>
      <c r="G40" s="840">
        <f>G39/G18*100</f>
        <v>7.993850221397629</v>
      </c>
      <c r="H40" s="840">
        <f>H39/H18*100</f>
        <v>8.167484785079424</v>
      </c>
      <c r="I40" s="840">
        <f>I39/I18*100</f>
        <v>8.346618202828106</v>
      </c>
      <c r="J40" s="844">
        <f>F40+G40+H40+I40</f>
        <v>32.316406032511836</v>
      </c>
      <c r="K40" s="682"/>
    </row>
    <row r="41" spans="1:11" ht="28.5" customHeight="1">
      <c r="A41" s="667">
        <f>+A39+1</f>
        <v>10</v>
      </c>
      <c r="B41" s="675" t="s">
        <v>251</v>
      </c>
      <c r="C41" s="841">
        <v>843.9</v>
      </c>
      <c r="D41" s="847">
        <v>240.60421220809076</v>
      </c>
      <c r="E41" s="843">
        <f>D41*1.2</f>
        <v>288.7250546497089</v>
      </c>
      <c r="F41" s="843">
        <f>E41*1.2</f>
        <v>346.4700655796507</v>
      </c>
      <c r="G41" s="843">
        <f>F41*1.2</f>
        <v>415.7640786955808</v>
      </c>
      <c r="H41" s="843">
        <f>G41*1.1</f>
        <v>457.3404865651389</v>
      </c>
      <c r="I41" s="843">
        <f>H41*1.1</f>
        <v>503.07453522165287</v>
      </c>
      <c r="J41" s="842">
        <f>SUM(E41:I41)</f>
        <v>2011.3742207117323</v>
      </c>
      <c r="K41" s="674"/>
    </row>
    <row r="42" spans="1:11" s="683" customFormat="1" ht="24.75" customHeight="1">
      <c r="A42" s="680"/>
      <c r="B42" s="684" t="s">
        <v>217</v>
      </c>
      <c r="C42" s="840">
        <f>C41/C18*100</f>
        <v>4.610666367494052</v>
      </c>
      <c r="D42" s="846"/>
      <c r="E42" s="840">
        <f aca="true" t="shared" si="13" ref="E42:J42">E41/E18*100</f>
        <v>7.00975243952779</v>
      </c>
      <c r="F42" s="840">
        <f t="shared" si="13"/>
        <v>7.165318993484685</v>
      </c>
      <c r="G42" s="840">
        <f t="shared" si="13"/>
        <v>7.335446357852206</v>
      </c>
      <c r="H42" s="840">
        <f t="shared" si="13"/>
        <v>6.870214742814526</v>
      </c>
      <c r="I42" s="840">
        <f t="shared" si="13"/>
        <v>6.435821128180175</v>
      </c>
      <c r="J42" s="840">
        <f t="shared" si="13"/>
        <v>6.914285288433529</v>
      </c>
      <c r="K42" s="682"/>
    </row>
    <row r="43" spans="1:11" ht="30.75" customHeight="1">
      <c r="A43" s="667">
        <f>+A41+1</f>
        <v>11</v>
      </c>
      <c r="B43" s="675" t="s">
        <v>250</v>
      </c>
      <c r="C43" s="841">
        <v>1605.5</v>
      </c>
      <c r="D43" s="847">
        <v>362.6</v>
      </c>
      <c r="E43" s="843">
        <f>D43*1.1</f>
        <v>398.86000000000007</v>
      </c>
      <c r="F43" s="843">
        <f>E43*1.15</f>
        <v>458.689</v>
      </c>
      <c r="G43" s="843">
        <f>F43*1.1</f>
        <v>504.5579000000001</v>
      </c>
      <c r="H43" s="843">
        <f>G43*1.1</f>
        <v>555.0136900000001</v>
      </c>
      <c r="I43" s="843">
        <f>H43*1.1</f>
        <v>610.5150590000002</v>
      </c>
      <c r="J43" s="842">
        <f>SUM(E43:I43)</f>
        <v>2527.6356490000007</v>
      </c>
      <c r="K43" s="674"/>
    </row>
    <row r="44" spans="1:11" s="683" customFormat="1" ht="28.5" customHeight="1">
      <c r="A44" s="680"/>
      <c r="B44" s="684" t="s">
        <v>217</v>
      </c>
      <c r="C44" s="840">
        <f>C43/C18*100</f>
        <v>8.771684859594385</v>
      </c>
      <c r="D44" s="840">
        <v>10.040601787168521</v>
      </c>
      <c r="E44" s="840">
        <f aca="true" t="shared" si="14" ref="E44:J44">E43/E18*100</f>
        <v>9.683641280879307</v>
      </c>
      <c r="F44" s="840">
        <f t="shared" si="14"/>
        <v>9.48610956708155</v>
      </c>
      <c r="G44" s="840">
        <f t="shared" si="14"/>
        <v>8.902061528481676</v>
      </c>
      <c r="H44" s="840">
        <f t="shared" si="14"/>
        <v>8.337471419029503</v>
      </c>
      <c r="I44" s="840">
        <f t="shared" si="14"/>
        <v>7.810305314009167</v>
      </c>
      <c r="J44" s="840">
        <f t="shared" si="14"/>
        <v>8.68898179286429</v>
      </c>
      <c r="K44" s="682"/>
    </row>
    <row r="45" spans="1:11" ht="28.5" customHeight="1">
      <c r="A45" s="667">
        <v>12</v>
      </c>
      <c r="B45" s="675" t="s">
        <v>249</v>
      </c>
      <c r="C45" s="841">
        <f>'[5]BM10'!$J$51</f>
        <v>793.495482967379</v>
      </c>
      <c r="D45" s="847">
        <v>342.7907413502777</v>
      </c>
      <c r="E45" s="843">
        <f>D45*0.8</f>
        <v>274.23259308022216</v>
      </c>
      <c r="F45" s="843">
        <f>E45*0.8</f>
        <v>219.38607446417774</v>
      </c>
      <c r="G45" s="843">
        <f>F45*0.8</f>
        <v>175.5088595713422</v>
      </c>
      <c r="H45" s="843">
        <f>G45*0.8</f>
        <v>140.4070876570738</v>
      </c>
      <c r="I45" s="843">
        <f>H45*0.8</f>
        <v>112.32567012565903</v>
      </c>
      <c r="J45" s="842">
        <f>SUM(E45:I45)</f>
        <v>921.860284898475</v>
      </c>
      <c r="K45" s="674"/>
    </row>
    <row r="46" spans="1:11" s="683" customFormat="1" ht="28.5" customHeight="1">
      <c r="A46" s="680"/>
      <c r="B46" s="684" t="s">
        <v>217</v>
      </c>
      <c r="C46" s="840">
        <f>C45/C18*100</f>
        <v>4.33528017072656</v>
      </c>
      <c r="D46" s="840">
        <v>8.341634990660435</v>
      </c>
      <c r="E46" s="840">
        <f aca="true" t="shared" si="15" ref="E46:J46">E45/E18*100</f>
        <v>6.657900162749375</v>
      </c>
      <c r="F46" s="840">
        <f t="shared" si="15"/>
        <v>4.537105402264065</v>
      </c>
      <c r="G46" s="840">
        <f t="shared" si="15"/>
        <v>3.096553768552109</v>
      </c>
      <c r="H46" s="840">
        <f t="shared" si="15"/>
        <v>2.109209378907433</v>
      </c>
      <c r="I46" s="840">
        <f t="shared" si="15"/>
        <v>1.4369797523406793</v>
      </c>
      <c r="J46" s="840">
        <f t="shared" si="15"/>
        <v>3.1689801630296333</v>
      </c>
      <c r="K46" s="682"/>
    </row>
    <row r="47" spans="1:11" ht="24.75" customHeight="1">
      <c r="A47" s="667">
        <v>13</v>
      </c>
      <c r="B47" s="675" t="s">
        <v>246</v>
      </c>
      <c r="C47" s="841">
        <v>141.52379351037138</v>
      </c>
      <c r="D47" s="847">
        <v>39.4</v>
      </c>
      <c r="E47" s="843">
        <f>D47/100*110</f>
        <v>43.339999999999996</v>
      </c>
      <c r="F47" s="843">
        <f>E47*1.1</f>
        <v>47.674</v>
      </c>
      <c r="G47" s="843">
        <f>F47*1.1</f>
        <v>52.4414</v>
      </c>
      <c r="H47" s="843">
        <f>G47*1.1</f>
        <v>57.68554</v>
      </c>
      <c r="I47" s="843">
        <f>H47*1.1</f>
        <v>63.45409400000001</v>
      </c>
      <c r="J47" s="842">
        <f>SUM(E47:I47)</f>
        <v>264.595034</v>
      </c>
      <c r="K47" s="674"/>
    </row>
    <row r="48" spans="1:11" s="683" customFormat="1" ht="33.75" customHeight="1">
      <c r="A48" s="680"/>
      <c r="B48" s="684" t="s">
        <v>217</v>
      </c>
      <c r="C48" s="840">
        <f>C47/C18*100</f>
        <v>0.7732183848067808</v>
      </c>
      <c r="D48" s="840">
        <v>1.9314893731193008</v>
      </c>
      <c r="E48" s="840">
        <f aca="true" t="shared" si="16" ref="E48:J48">E47/E18*100</f>
        <v>1.0522213636697313</v>
      </c>
      <c r="F48" s="840">
        <f t="shared" si="16"/>
        <v>0.9859420816741753</v>
      </c>
      <c r="G48" s="840">
        <f t="shared" si="16"/>
        <v>0.9252388466015871</v>
      </c>
      <c r="H48" s="840">
        <f t="shared" si="16"/>
        <v>0.8665579781307432</v>
      </c>
      <c r="I48" s="840">
        <f t="shared" si="16"/>
        <v>0.8117667865156414</v>
      </c>
      <c r="J48" s="840">
        <f t="shared" si="16"/>
        <v>0.9095699508027895</v>
      </c>
      <c r="K48" s="682"/>
    </row>
    <row r="49" spans="1:11" ht="30.75" customHeight="1">
      <c r="A49" s="667">
        <f>+A47+1</f>
        <v>14</v>
      </c>
      <c r="B49" s="675" t="s">
        <v>244</v>
      </c>
      <c r="C49" s="841">
        <v>902.8147917747832</v>
      </c>
      <c r="D49" s="847">
        <v>145.970414295837</v>
      </c>
      <c r="E49" s="836">
        <f>D49*1.2</f>
        <v>175.1644971550044</v>
      </c>
      <c r="F49" s="836">
        <f>E49*1.2</f>
        <v>210.19739658600528</v>
      </c>
      <c r="G49" s="836">
        <f>F49*1.2</f>
        <v>252.23687590320634</v>
      </c>
      <c r="H49" s="836">
        <f>G49*1.2</f>
        <v>302.6842510838476</v>
      </c>
      <c r="I49" s="836">
        <f>H49*1.2</f>
        <v>363.2211013006171</v>
      </c>
      <c r="J49" s="842">
        <f>SUM(E49:I49)</f>
        <v>1303.5041220286807</v>
      </c>
      <c r="K49" s="674"/>
    </row>
    <row r="50" spans="1:11" s="683" customFormat="1" ht="34.5" customHeight="1">
      <c r="A50" s="680"/>
      <c r="B50" s="684" t="s">
        <v>217</v>
      </c>
      <c r="C50" s="840">
        <f>C49/C18*100</f>
        <v>4.932548639071145</v>
      </c>
      <c r="D50" s="840">
        <v>3.5521143619428384</v>
      </c>
      <c r="E50" s="840">
        <f aca="true" t="shared" si="17" ref="E50:J50">E49/E18*100</f>
        <v>4.252695571365056</v>
      </c>
      <c r="F50" s="840">
        <f t="shared" si="17"/>
        <v>4.347075109126532</v>
      </c>
      <c r="G50" s="840">
        <f t="shared" si="17"/>
        <v>4.45028843873486</v>
      </c>
      <c r="H50" s="840">
        <f t="shared" si="17"/>
        <v>4.546953233535426</v>
      </c>
      <c r="I50" s="840">
        <f t="shared" si="17"/>
        <v>4.6466793174523</v>
      </c>
      <c r="J50" s="840">
        <f t="shared" si="17"/>
        <v>4.480916222127058</v>
      </c>
      <c r="K50" s="682"/>
    </row>
    <row r="51" spans="1:11" s="660" customFormat="1" ht="32.25" customHeight="1">
      <c r="A51" s="655" t="s">
        <v>115</v>
      </c>
      <c r="B51" s="679" t="s">
        <v>243</v>
      </c>
      <c r="C51" s="836">
        <v>1654.5</v>
      </c>
      <c r="D51" s="837">
        <v>127.1</v>
      </c>
      <c r="E51" s="836">
        <f>D51*1.2</f>
        <v>152.51999999999998</v>
      </c>
      <c r="F51" s="836">
        <f>E51*1.5</f>
        <v>228.77999999999997</v>
      </c>
      <c r="G51" s="836">
        <f>F51*1.5</f>
        <v>343.16999999999996</v>
      </c>
      <c r="H51" s="836">
        <f>G51*1.5</f>
        <v>514.7549999999999</v>
      </c>
      <c r="I51" s="836">
        <f>H51*1.5</f>
        <v>772.1324999999998</v>
      </c>
      <c r="J51" s="842">
        <f>SUM(E51:I51)</f>
        <v>2011.3574999999996</v>
      </c>
      <c r="K51" s="665"/>
    </row>
    <row r="52" spans="1:11" s="683" customFormat="1" ht="34.5" customHeight="1">
      <c r="A52" s="680"/>
      <c r="B52" s="684" t="s">
        <v>217</v>
      </c>
      <c r="C52" s="840">
        <f>C51/C18*100</f>
        <v>9.039397446402312</v>
      </c>
      <c r="D52" s="840">
        <v>1.3142489659346352</v>
      </c>
      <c r="E52" s="840">
        <f aca="true" t="shared" si="18" ref="E52:J52">E51/E18*100</f>
        <v>3.7029257588118925</v>
      </c>
      <c r="F52" s="840">
        <f t="shared" si="18"/>
        <v>4.731380405365982</v>
      </c>
      <c r="G52" s="840">
        <f t="shared" si="18"/>
        <v>6.054647949678434</v>
      </c>
      <c r="H52" s="840">
        <f t="shared" si="18"/>
        <v>7.732701332650965</v>
      </c>
      <c r="I52" s="840">
        <f t="shared" si="18"/>
        <v>9.877873574072119</v>
      </c>
      <c r="J52" s="840">
        <f t="shared" si="18"/>
        <v>6.9142278094373495</v>
      </c>
      <c r="K52" s="682"/>
    </row>
    <row r="53" spans="1:11" s="660" customFormat="1" ht="30" customHeight="1">
      <c r="A53" s="655" t="s">
        <v>116</v>
      </c>
      <c r="B53" s="679" t="s">
        <v>242</v>
      </c>
      <c r="C53" s="836">
        <v>173.5</v>
      </c>
      <c r="D53" s="837">
        <v>30.5</v>
      </c>
      <c r="E53" s="836">
        <f>D53*1.5</f>
        <v>45.75</v>
      </c>
      <c r="F53" s="836">
        <f>E53*1.5</f>
        <v>68.625</v>
      </c>
      <c r="G53" s="836">
        <f>F53*1.1</f>
        <v>75.48750000000001</v>
      </c>
      <c r="H53" s="836">
        <f>G53*1.1</f>
        <v>83.03625000000002</v>
      </c>
      <c r="I53" s="836">
        <f>H53*1.1</f>
        <v>91.33987500000003</v>
      </c>
      <c r="J53" s="842">
        <f>SUM(E53:I53)</f>
        <v>364.23862500000007</v>
      </c>
      <c r="K53" s="665"/>
    </row>
    <row r="54" spans="1:11" s="683" customFormat="1" ht="30" customHeight="1">
      <c r="A54" s="680"/>
      <c r="B54" s="684" t="s">
        <v>217</v>
      </c>
      <c r="C54" s="840">
        <f>C53/C18*100</f>
        <v>0.9479210981872475</v>
      </c>
      <c r="D54" s="840">
        <v>0.37801016783945013</v>
      </c>
      <c r="E54" s="840">
        <f aca="true" t="shared" si="19" ref="E54:J54">E53/E18*100</f>
        <v>1.1107320578654871</v>
      </c>
      <c r="F54" s="840">
        <f t="shared" si="19"/>
        <v>1.419227993348372</v>
      </c>
      <c r="G54" s="840">
        <f t="shared" si="19"/>
        <v>1.3318478803547829</v>
      </c>
      <c r="H54" s="840">
        <f t="shared" si="19"/>
        <v>1.247378890993461</v>
      </c>
      <c r="I54" s="840">
        <f t="shared" si="19"/>
        <v>1.1685089508880289</v>
      </c>
      <c r="J54" s="840">
        <f t="shared" si="19"/>
        <v>1.2521040293663477</v>
      </c>
      <c r="K54" s="682"/>
    </row>
    <row r="55" spans="1:11" s="660" customFormat="1" ht="62.25" customHeight="1" hidden="1">
      <c r="A55" s="655" t="s">
        <v>116</v>
      </c>
      <c r="B55" s="679" t="s">
        <v>241</v>
      </c>
      <c r="C55" s="662"/>
      <c r="D55" s="686"/>
      <c r="E55" s="662"/>
      <c r="F55" s="662"/>
      <c r="G55" s="657"/>
      <c r="H55" s="656">
        <f>G55+G55*0.1</f>
        <v>0</v>
      </c>
      <c r="I55" s="657"/>
      <c r="J55" s="658"/>
      <c r="K55" s="665"/>
    </row>
    <row r="56" spans="1:11" ht="62.25" customHeight="1" hidden="1">
      <c r="A56" s="667"/>
      <c r="B56" s="675"/>
      <c r="C56" s="669"/>
      <c r="D56" s="687"/>
      <c r="E56" s="669"/>
      <c r="F56" s="669"/>
      <c r="G56" s="688"/>
      <c r="H56" s="656">
        <f>G56+G56*0.1</f>
        <v>0</v>
      </c>
      <c r="I56" s="672"/>
      <c r="J56" s="658"/>
      <c r="K56" s="674"/>
    </row>
    <row r="57" spans="1:11" s="660" customFormat="1" ht="62.25" customHeight="1" hidden="1">
      <c r="A57" s="655"/>
      <c r="B57" s="679" t="s">
        <v>240</v>
      </c>
      <c r="C57" s="662"/>
      <c r="D57" s="686"/>
      <c r="E57" s="662"/>
      <c r="F57" s="662"/>
      <c r="G57" s="679"/>
      <c r="H57" s="656">
        <f>G57+G57*0.1</f>
        <v>0</v>
      </c>
      <c r="I57" s="657"/>
      <c r="J57" s="658"/>
      <c r="K57" s="665"/>
    </row>
    <row r="58" spans="1:11" s="660" customFormat="1" ht="62.25" customHeight="1" hidden="1">
      <c r="A58" s="655" t="s">
        <v>239</v>
      </c>
      <c r="B58" s="679" t="s">
        <v>238</v>
      </c>
      <c r="C58" s="662"/>
      <c r="D58" s="686"/>
      <c r="E58" s="662"/>
      <c r="F58" s="662"/>
      <c r="G58" s="679"/>
      <c r="H58" s="656">
        <f>G58+G58*0.1</f>
        <v>0</v>
      </c>
      <c r="I58" s="657"/>
      <c r="J58" s="658"/>
      <c r="K58" s="665"/>
    </row>
    <row r="59" spans="1:11" ht="20.25" customHeight="1">
      <c r="A59" s="689"/>
      <c r="B59" s="646"/>
      <c r="C59" s="644"/>
      <c r="D59" s="687"/>
      <c r="E59" s="644"/>
      <c r="F59" s="644"/>
      <c r="G59" s="646"/>
      <c r="H59" s="647"/>
      <c r="I59" s="647"/>
      <c r="J59" s="690"/>
      <c r="K59" s="649"/>
    </row>
    <row r="60" spans="1:11" ht="16.5">
      <c r="A60" s="691"/>
      <c r="B60" s="845"/>
      <c r="C60" s="845"/>
      <c r="D60" s="687"/>
      <c r="E60" s="845"/>
      <c r="F60" s="644"/>
      <c r="G60" s="646"/>
      <c r="H60" s="647"/>
      <c r="I60" s="647"/>
      <c r="J60" s="690"/>
      <c r="K60" s="649"/>
    </row>
    <row r="61" spans="1:11" ht="16.5">
      <c r="A61" s="692"/>
      <c r="B61" s="693"/>
      <c r="C61" s="694"/>
      <c r="D61" s="687"/>
      <c r="E61" s="694"/>
      <c r="F61" s="694"/>
      <c r="G61" s="693"/>
      <c r="H61" s="693"/>
      <c r="I61" s="695"/>
      <c r="J61" s="696"/>
      <c r="K61" s="697"/>
    </row>
    <row r="62" spans="1:11" ht="16.5">
      <c r="A62" s="689"/>
      <c r="B62" s="646"/>
      <c r="C62" s="644"/>
      <c r="D62" s="687"/>
      <c r="E62" s="644"/>
      <c r="F62" s="644"/>
      <c r="G62" s="646"/>
      <c r="H62" s="647"/>
      <c r="I62" s="647"/>
      <c r="J62" s="690"/>
      <c r="K62" s="649"/>
    </row>
    <row r="63" spans="1:11" ht="16.5">
      <c r="A63" s="689"/>
      <c r="B63" s="646"/>
      <c r="C63" s="644"/>
      <c r="D63" s="645"/>
      <c r="E63" s="644"/>
      <c r="F63" s="644"/>
      <c r="G63" s="646"/>
      <c r="H63" s="647"/>
      <c r="I63" s="647"/>
      <c r="J63" s="690"/>
      <c r="K63" s="649"/>
    </row>
    <row r="64" spans="1:11" ht="16.5">
      <c r="A64" s="689"/>
      <c r="B64" s="646"/>
      <c r="C64" s="644"/>
      <c r="D64" s="645"/>
      <c r="E64" s="644"/>
      <c r="F64" s="644"/>
      <c r="G64" s="646"/>
      <c r="H64" s="647"/>
      <c r="I64" s="647"/>
      <c r="J64" s="690"/>
      <c r="K64" s="649"/>
    </row>
    <row r="65" spans="1:11" ht="16.5">
      <c r="A65" s="689"/>
      <c r="B65" s="646"/>
      <c r="C65" s="644"/>
      <c r="D65" s="645"/>
      <c r="E65" s="644"/>
      <c r="F65" s="644"/>
      <c r="G65" s="646"/>
      <c r="H65" s="647"/>
      <c r="I65" s="647"/>
      <c r="J65" s="690"/>
      <c r="K65" s="649"/>
    </row>
    <row r="66" spans="1:11" ht="16.5">
      <c r="A66" s="689"/>
      <c r="B66" s="646"/>
      <c r="C66" s="644"/>
      <c r="D66" s="645"/>
      <c r="E66" s="644"/>
      <c r="F66" s="644"/>
      <c r="G66" s="646"/>
      <c r="H66" s="647"/>
      <c r="I66" s="647"/>
      <c r="J66" s="690"/>
      <c r="K66" s="649"/>
    </row>
    <row r="67" spans="1:11" ht="16.5">
      <c r="A67" s="689"/>
      <c r="B67" s="646"/>
      <c r="C67" s="644"/>
      <c r="D67" s="645"/>
      <c r="E67" s="644"/>
      <c r="F67" s="644"/>
      <c r="G67" s="646"/>
      <c r="H67" s="647"/>
      <c r="I67" s="647"/>
      <c r="J67" s="690"/>
      <c r="K67" s="649"/>
    </row>
    <row r="68" spans="1:11" ht="16.5">
      <c r="A68" s="689"/>
      <c r="B68" s="646"/>
      <c r="C68" s="644"/>
      <c r="D68" s="645"/>
      <c r="E68" s="644"/>
      <c r="F68" s="644"/>
      <c r="G68" s="646"/>
      <c r="H68" s="647"/>
      <c r="I68" s="647"/>
      <c r="J68" s="690"/>
      <c r="K68" s="649"/>
    </row>
    <row r="69" spans="1:11" ht="16.5">
      <c r="A69" s="689"/>
      <c r="B69" s="646"/>
      <c r="C69" s="644"/>
      <c r="D69" s="645"/>
      <c r="E69" s="644"/>
      <c r="F69" s="644"/>
      <c r="G69" s="646"/>
      <c r="H69" s="647"/>
      <c r="I69" s="647"/>
      <c r="J69" s="690"/>
      <c r="K69" s="649"/>
    </row>
    <row r="70" spans="1:11" ht="16.5">
      <c r="A70" s="689"/>
      <c r="B70" s="646"/>
      <c r="C70" s="644"/>
      <c r="D70" s="645"/>
      <c r="E70" s="644"/>
      <c r="F70" s="644"/>
      <c r="G70" s="646"/>
      <c r="H70" s="647"/>
      <c r="I70" s="647"/>
      <c r="J70" s="690"/>
      <c r="K70" s="649"/>
    </row>
    <row r="71" spans="1:11" ht="16.5">
      <c r="A71" s="689"/>
      <c r="B71" s="646"/>
      <c r="C71" s="644"/>
      <c r="D71" s="645"/>
      <c r="E71" s="644"/>
      <c r="F71" s="644"/>
      <c r="G71" s="646"/>
      <c r="H71" s="647"/>
      <c r="I71" s="647"/>
      <c r="J71" s="690"/>
      <c r="K71" s="649"/>
    </row>
    <row r="72" spans="1:11" ht="16.5">
      <c r="A72" s="689"/>
      <c r="B72" s="646"/>
      <c r="C72" s="644"/>
      <c r="D72" s="645"/>
      <c r="E72" s="644"/>
      <c r="F72" s="644"/>
      <c r="G72" s="646"/>
      <c r="H72" s="647"/>
      <c r="I72" s="647"/>
      <c r="J72" s="690"/>
      <c r="K72" s="649"/>
    </row>
    <row r="73" spans="1:11" ht="16.5">
      <c r="A73" s="689"/>
      <c r="B73" s="646"/>
      <c r="C73" s="644"/>
      <c r="D73" s="645"/>
      <c r="E73" s="644"/>
      <c r="F73" s="644"/>
      <c r="G73" s="646"/>
      <c r="H73" s="647"/>
      <c r="I73" s="647"/>
      <c r="J73" s="690"/>
      <c r="K73" s="649"/>
    </row>
    <row r="74" spans="1:11" ht="16.5">
      <c r="A74" s="689"/>
      <c r="B74" s="646"/>
      <c r="C74" s="644"/>
      <c r="D74" s="645"/>
      <c r="E74" s="644"/>
      <c r="F74" s="644"/>
      <c r="G74" s="646"/>
      <c r="H74" s="647"/>
      <c r="I74" s="647"/>
      <c r="J74" s="690"/>
      <c r="K74" s="649"/>
    </row>
    <row r="75" spans="1:11" ht="16.5">
      <c r="A75" s="689"/>
      <c r="B75" s="646"/>
      <c r="C75" s="644"/>
      <c r="D75" s="645"/>
      <c r="E75" s="644"/>
      <c r="F75" s="644"/>
      <c r="G75" s="646"/>
      <c r="H75" s="647"/>
      <c r="I75" s="647"/>
      <c r="J75" s="690"/>
      <c r="K75" s="649"/>
    </row>
    <row r="76" spans="1:11" ht="16.5">
      <c r="A76" s="689"/>
      <c r="B76" s="646"/>
      <c r="C76" s="644"/>
      <c r="D76" s="645"/>
      <c r="E76" s="644"/>
      <c r="F76" s="644"/>
      <c r="G76" s="646"/>
      <c r="H76" s="647"/>
      <c r="I76" s="647"/>
      <c r="J76" s="690"/>
      <c r="K76" s="649"/>
    </row>
    <row r="77" spans="1:11" ht="16.5">
      <c r="A77" s="689"/>
      <c r="B77" s="646"/>
      <c r="C77" s="644"/>
      <c r="D77" s="645"/>
      <c r="E77" s="644"/>
      <c r="F77" s="644"/>
      <c r="G77" s="646"/>
      <c r="H77" s="647"/>
      <c r="I77" s="647"/>
      <c r="J77" s="690"/>
      <c r="K77" s="649"/>
    </row>
    <row r="78" spans="1:11" ht="16.5">
      <c r="A78" s="689"/>
      <c r="B78" s="646"/>
      <c r="C78" s="644"/>
      <c r="D78" s="645"/>
      <c r="E78" s="644"/>
      <c r="F78" s="644"/>
      <c r="G78" s="646"/>
      <c r="H78" s="647"/>
      <c r="I78" s="647"/>
      <c r="J78" s="690"/>
      <c r="K78" s="649"/>
    </row>
    <row r="79" spans="1:11" ht="16.5">
      <c r="A79" s="689"/>
      <c r="B79" s="646"/>
      <c r="C79" s="644"/>
      <c r="D79" s="645"/>
      <c r="E79" s="644"/>
      <c r="F79" s="644"/>
      <c r="G79" s="646"/>
      <c r="H79" s="647"/>
      <c r="I79" s="647"/>
      <c r="J79" s="690"/>
      <c r="K79" s="649"/>
    </row>
    <row r="80" spans="1:11" ht="16.5">
      <c r="A80" s="689"/>
      <c r="B80" s="646"/>
      <c r="C80" s="644"/>
      <c r="D80" s="645"/>
      <c r="E80" s="644"/>
      <c r="F80" s="644"/>
      <c r="G80" s="646"/>
      <c r="H80" s="647"/>
      <c r="I80" s="647"/>
      <c r="J80" s="690"/>
      <c r="K80" s="649"/>
    </row>
    <row r="81" spans="1:11" ht="16.5">
      <c r="A81" s="689"/>
      <c r="B81" s="646"/>
      <c r="C81" s="644"/>
      <c r="D81" s="645"/>
      <c r="E81" s="644"/>
      <c r="F81" s="644"/>
      <c r="G81" s="646"/>
      <c r="H81" s="647"/>
      <c r="I81" s="647"/>
      <c r="J81" s="690"/>
      <c r="K81" s="649"/>
    </row>
    <row r="82" spans="1:11" ht="16.5">
      <c r="A82" s="689"/>
      <c r="B82" s="646"/>
      <c r="C82" s="644"/>
      <c r="D82" s="645"/>
      <c r="E82" s="644"/>
      <c r="F82" s="644"/>
      <c r="G82" s="646"/>
      <c r="H82" s="647"/>
      <c r="I82" s="647"/>
      <c r="J82" s="690"/>
      <c r="K82" s="649"/>
    </row>
    <row r="83" spans="1:11" ht="16.5">
      <c r="A83" s="689"/>
      <c r="B83" s="646"/>
      <c r="C83" s="644"/>
      <c r="D83" s="645"/>
      <c r="E83" s="644"/>
      <c r="F83" s="644"/>
      <c r="G83" s="646"/>
      <c r="H83" s="647"/>
      <c r="I83" s="647"/>
      <c r="J83" s="690"/>
      <c r="K83" s="649"/>
    </row>
    <row r="84" spans="1:11" ht="16.5">
      <c r="A84" s="689"/>
      <c r="B84" s="646"/>
      <c r="C84" s="644"/>
      <c r="D84" s="645"/>
      <c r="E84" s="644"/>
      <c r="F84" s="644"/>
      <c r="G84" s="646"/>
      <c r="H84" s="647"/>
      <c r="I84" s="647"/>
      <c r="J84" s="690"/>
      <c r="K84" s="649"/>
    </row>
    <row r="85" spans="1:11" ht="16.5">
      <c r="A85" s="689"/>
      <c r="B85" s="646"/>
      <c r="C85" s="644"/>
      <c r="D85" s="645"/>
      <c r="E85" s="644"/>
      <c r="F85" s="644"/>
      <c r="G85" s="646"/>
      <c r="H85" s="647"/>
      <c r="I85" s="647"/>
      <c r="J85" s="690"/>
      <c r="K85" s="649"/>
    </row>
    <row r="86" spans="1:11" ht="16.5">
      <c r="A86" s="689"/>
      <c r="B86" s="646"/>
      <c r="C86" s="644"/>
      <c r="D86" s="645"/>
      <c r="E86" s="644"/>
      <c r="F86" s="644"/>
      <c r="G86" s="646"/>
      <c r="H86" s="647"/>
      <c r="I86" s="647"/>
      <c r="J86" s="690"/>
      <c r="K86" s="649"/>
    </row>
    <row r="87" spans="1:11" ht="16.5">
      <c r="A87" s="689"/>
      <c r="B87" s="646"/>
      <c r="C87" s="644"/>
      <c r="D87" s="645"/>
      <c r="E87" s="644"/>
      <c r="F87" s="644"/>
      <c r="G87" s="646"/>
      <c r="H87" s="647"/>
      <c r="I87" s="647"/>
      <c r="J87" s="690"/>
      <c r="K87" s="649"/>
    </row>
    <row r="88" spans="1:11" ht="16.5">
      <c r="A88" s="689"/>
      <c r="B88" s="646"/>
      <c r="C88" s="644"/>
      <c r="D88" s="645"/>
      <c r="E88" s="644"/>
      <c r="F88" s="644"/>
      <c r="G88" s="646"/>
      <c r="H88" s="647"/>
      <c r="I88" s="647"/>
      <c r="J88" s="690"/>
      <c r="K88" s="649"/>
    </row>
    <row r="89" spans="1:11" ht="16.5">
      <c r="A89" s="689"/>
      <c r="B89" s="646"/>
      <c r="C89" s="644"/>
      <c r="D89" s="645"/>
      <c r="E89" s="644"/>
      <c r="F89" s="644"/>
      <c r="G89" s="646"/>
      <c r="H89" s="647"/>
      <c r="I89" s="647"/>
      <c r="J89" s="690"/>
      <c r="K89" s="649"/>
    </row>
    <row r="90" spans="1:11" ht="16.5">
      <c r="A90" s="689"/>
      <c r="B90" s="646"/>
      <c r="C90" s="644"/>
      <c r="D90" s="645"/>
      <c r="E90" s="644"/>
      <c r="F90" s="644"/>
      <c r="G90" s="646"/>
      <c r="H90" s="647"/>
      <c r="I90" s="647"/>
      <c r="J90" s="690"/>
      <c r="K90" s="649"/>
    </row>
    <row r="91" spans="1:11" ht="16.5">
      <c r="A91" s="689"/>
      <c r="B91" s="646"/>
      <c r="C91" s="644"/>
      <c r="D91" s="645"/>
      <c r="E91" s="644"/>
      <c r="F91" s="644"/>
      <c r="G91" s="646"/>
      <c r="H91" s="647"/>
      <c r="I91" s="647"/>
      <c r="J91" s="690"/>
      <c r="K91" s="649"/>
    </row>
    <row r="92" spans="1:11" ht="16.5">
      <c r="A92" s="689"/>
      <c r="B92" s="646"/>
      <c r="C92" s="644"/>
      <c r="D92" s="645"/>
      <c r="E92" s="644"/>
      <c r="F92" s="644"/>
      <c r="G92" s="646"/>
      <c r="H92" s="647"/>
      <c r="I92" s="647"/>
      <c r="J92" s="690"/>
      <c r="K92" s="649"/>
    </row>
    <row r="93" spans="1:11" ht="16.5">
      <c r="A93" s="689"/>
      <c r="B93" s="646"/>
      <c r="C93" s="644"/>
      <c r="D93" s="645"/>
      <c r="E93" s="644"/>
      <c r="F93" s="644"/>
      <c r="G93" s="646"/>
      <c r="H93" s="647"/>
      <c r="I93" s="647"/>
      <c r="J93" s="690"/>
      <c r="K93" s="649"/>
    </row>
    <row r="94" spans="1:11" ht="16.5">
      <c r="A94" s="689"/>
      <c r="B94" s="646"/>
      <c r="C94" s="644"/>
      <c r="D94" s="645"/>
      <c r="E94" s="644"/>
      <c r="F94" s="644"/>
      <c r="G94" s="646"/>
      <c r="H94" s="647"/>
      <c r="I94" s="647"/>
      <c r="J94" s="690"/>
      <c r="K94" s="649"/>
    </row>
    <row r="95" spans="1:11" ht="16.5">
      <c r="A95" s="689"/>
      <c r="B95" s="646"/>
      <c r="C95" s="644"/>
      <c r="D95" s="645"/>
      <c r="E95" s="644"/>
      <c r="F95" s="644"/>
      <c r="G95" s="646"/>
      <c r="H95" s="647"/>
      <c r="I95" s="647"/>
      <c r="J95" s="690"/>
      <c r="K95" s="649"/>
    </row>
    <row r="96" spans="1:11" ht="16.5">
      <c r="A96" s="689"/>
      <c r="B96" s="646"/>
      <c r="C96" s="644"/>
      <c r="D96" s="645"/>
      <c r="E96" s="644"/>
      <c r="F96" s="644"/>
      <c r="G96" s="646"/>
      <c r="H96" s="647"/>
      <c r="I96" s="647"/>
      <c r="J96" s="690"/>
      <c r="K96" s="649"/>
    </row>
    <row r="97" spans="1:11" ht="16.5">
      <c r="A97" s="689"/>
      <c r="B97" s="646"/>
      <c r="C97" s="644"/>
      <c r="D97" s="645"/>
      <c r="E97" s="644"/>
      <c r="F97" s="644"/>
      <c r="G97" s="646"/>
      <c r="H97" s="647"/>
      <c r="I97" s="647"/>
      <c r="J97" s="690"/>
      <c r="K97" s="649"/>
    </row>
    <row r="98" spans="1:11" ht="16.5">
      <c r="A98" s="689"/>
      <c r="B98" s="646"/>
      <c r="C98" s="644"/>
      <c r="D98" s="645"/>
      <c r="E98" s="644"/>
      <c r="F98" s="644"/>
      <c r="G98" s="646"/>
      <c r="H98" s="647"/>
      <c r="I98" s="647"/>
      <c r="J98" s="690"/>
      <c r="K98" s="649"/>
    </row>
    <row r="99" spans="1:11" ht="16.5">
      <c r="A99" s="689"/>
      <c r="B99" s="646"/>
      <c r="C99" s="644"/>
      <c r="D99" s="645"/>
      <c r="E99" s="644"/>
      <c r="F99" s="644"/>
      <c r="G99" s="646"/>
      <c r="H99" s="647"/>
      <c r="I99" s="647"/>
      <c r="J99" s="690"/>
      <c r="K99" s="649"/>
    </row>
    <row r="100" spans="1:11" ht="16.5">
      <c r="A100" s="689"/>
      <c r="B100" s="646"/>
      <c r="C100" s="644"/>
      <c r="D100" s="645"/>
      <c r="E100" s="644"/>
      <c r="F100" s="644"/>
      <c r="G100" s="646"/>
      <c r="H100" s="647"/>
      <c r="I100" s="647"/>
      <c r="J100" s="690"/>
      <c r="K100" s="649"/>
    </row>
    <row r="101" spans="1:11" ht="16.5">
      <c r="A101" s="689"/>
      <c r="B101" s="646"/>
      <c r="C101" s="644"/>
      <c r="D101" s="645"/>
      <c r="E101" s="644"/>
      <c r="F101" s="644"/>
      <c r="G101" s="646"/>
      <c r="H101" s="647"/>
      <c r="I101" s="647"/>
      <c r="J101" s="690"/>
      <c r="K101" s="649"/>
    </row>
    <row r="102" spans="1:11" ht="16.5">
      <c r="A102" s="689"/>
      <c r="B102" s="646"/>
      <c r="C102" s="644"/>
      <c r="D102" s="645"/>
      <c r="E102" s="644"/>
      <c r="F102" s="644"/>
      <c r="G102" s="646"/>
      <c r="H102" s="647"/>
      <c r="I102" s="647"/>
      <c r="J102" s="690"/>
      <c r="K102" s="649"/>
    </row>
    <row r="103" spans="1:11" ht="16.5">
      <c r="A103" s="689"/>
      <c r="B103" s="646"/>
      <c r="C103" s="644"/>
      <c r="D103" s="645"/>
      <c r="E103" s="644"/>
      <c r="F103" s="644"/>
      <c r="G103" s="646"/>
      <c r="H103" s="647"/>
      <c r="I103" s="647"/>
      <c r="J103" s="690"/>
      <c r="K103" s="649"/>
    </row>
    <row r="104" spans="1:11" ht="16.5">
      <c r="A104" s="689"/>
      <c r="B104" s="646"/>
      <c r="C104" s="644"/>
      <c r="D104" s="645"/>
      <c r="E104" s="644"/>
      <c r="F104" s="644"/>
      <c r="G104" s="646"/>
      <c r="H104" s="647"/>
      <c r="I104" s="647"/>
      <c r="J104" s="690"/>
      <c r="K104" s="649"/>
    </row>
    <row r="105" spans="1:11" ht="16.5">
      <c r="A105" s="689"/>
      <c r="B105" s="646"/>
      <c r="C105" s="644"/>
      <c r="D105" s="645"/>
      <c r="E105" s="644"/>
      <c r="F105" s="644"/>
      <c r="G105" s="646"/>
      <c r="H105" s="647"/>
      <c r="I105" s="647"/>
      <c r="J105" s="690"/>
      <c r="K105" s="649"/>
    </row>
    <row r="106" spans="1:11" ht="16.5">
      <c r="A106" s="689"/>
      <c r="B106" s="646"/>
      <c r="C106" s="644"/>
      <c r="D106" s="645"/>
      <c r="E106" s="644"/>
      <c r="F106" s="644"/>
      <c r="G106" s="646"/>
      <c r="H106" s="647"/>
      <c r="I106" s="647"/>
      <c r="J106" s="690"/>
      <c r="K106" s="649"/>
    </row>
    <row r="107" spans="1:11" ht="16.5">
      <c r="A107" s="689"/>
      <c r="B107" s="646"/>
      <c r="C107" s="644"/>
      <c r="D107" s="645"/>
      <c r="E107" s="644"/>
      <c r="F107" s="644"/>
      <c r="G107" s="646"/>
      <c r="H107" s="647"/>
      <c r="I107" s="647"/>
      <c r="J107" s="690"/>
      <c r="K107" s="649"/>
    </row>
    <row r="108" spans="1:11" ht="16.5">
      <c r="A108" s="689"/>
      <c r="B108" s="646"/>
      <c r="C108" s="644"/>
      <c r="D108" s="645"/>
      <c r="E108" s="644"/>
      <c r="F108" s="644"/>
      <c r="G108" s="646"/>
      <c r="H108" s="647"/>
      <c r="I108" s="647"/>
      <c r="J108" s="690"/>
      <c r="K108" s="649"/>
    </row>
    <row r="109" spans="1:11" ht="16.5">
      <c r="A109" s="689"/>
      <c r="B109" s="646"/>
      <c r="C109" s="644"/>
      <c r="D109" s="645"/>
      <c r="E109" s="644"/>
      <c r="F109" s="644"/>
      <c r="G109" s="646"/>
      <c r="H109" s="647"/>
      <c r="I109" s="647"/>
      <c r="J109" s="690"/>
      <c r="K109" s="649"/>
    </row>
    <row r="110" spans="1:11" ht="16.5">
      <c r="A110" s="689"/>
      <c r="B110" s="646"/>
      <c r="C110" s="644"/>
      <c r="D110" s="645"/>
      <c r="E110" s="644"/>
      <c r="F110" s="644"/>
      <c r="G110" s="646"/>
      <c r="H110" s="647"/>
      <c r="I110" s="647"/>
      <c r="J110" s="690"/>
      <c r="K110" s="649"/>
    </row>
    <row r="111" spans="1:11" ht="16.5">
      <c r="A111" s="689"/>
      <c r="B111" s="646"/>
      <c r="C111" s="644"/>
      <c r="D111" s="645"/>
      <c r="E111" s="644"/>
      <c r="F111" s="644"/>
      <c r="G111" s="646"/>
      <c r="H111" s="647"/>
      <c r="I111" s="647"/>
      <c r="J111" s="690"/>
      <c r="K111" s="649"/>
    </row>
    <row r="112" spans="1:11" ht="16.5">
      <c r="A112" s="689"/>
      <c r="B112" s="646"/>
      <c r="C112" s="644"/>
      <c r="D112" s="645"/>
      <c r="E112" s="644"/>
      <c r="F112" s="644"/>
      <c r="G112" s="646"/>
      <c r="H112" s="647"/>
      <c r="I112" s="647"/>
      <c r="J112" s="690"/>
      <c r="K112" s="649"/>
    </row>
    <row r="113" spans="1:11" ht="16.5">
      <c r="A113" s="689"/>
      <c r="B113" s="646"/>
      <c r="C113" s="644"/>
      <c r="D113" s="645"/>
      <c r="E113" s="644"/>
      <c r="F113" s="644"/>
      <c r="G113" s="646"/>
      <c r="H113" s="647"/>
      <c r="I113" s="647"/>
      <c r="J113" s="690"/>
      <c r="K113" s="649"/>
    </row>
    <row r="114" spans="1:11" ht="16.5">
      <c r="A114" s="689"/>
      <c r="B114" s="646"/>
      <c r="C114" s="644"/>
      <c r="D114" s="645"/>
      <c r="E114" s="644"/>
      <c r="F114" s="644"/>
      <c r="G114" s="646"/>
      <c r="H114" s="647"/>
      <c r="I114" s="647"/>
      <c r="J114" s="690"/>
      <c r="K114" s="649"/>
    </row>
    <row r="115" spans="1:11" ht="16.5">
      <c r="A115" s="689"/>
      <c r="B115" s="646"/>
      <c r="C115" s="644"/>
      <c r="D115" s="645"/>
      <c r="E115" s="644"/>
      <c r="F115" s="644"/>
      <c r="G115" s="646"/>
      <c r="H115" s="647"/>
      <c r="I115" s="647"/>
      <c r="J115" s="690"/>
      <c r="K115" s="649"/>
    </row>
    <row r="116" spans="1:11" ht="16.5">
      <c r="A116" s="689"/>
      <c r="B116" s="646"/>
      <c r="C116" s="644"/>
      <c r="D116" s="645"/>
      <c r="E116" s="644"/>
      <c r="F116" s="644"/>
      <c r="G116" s="646"/>
      <c r="H116" s="647"/>
      <c r="I116" s="647"/>
      <c r="J116" s="690"/>
      <c r="K116" s="649"/>
    </row>
    <row r="117" spans="1:11" ht="16.5">
      <c r="A117" s="689"/>
      <c r="B117" s="646"/>
      <c r="C117" s="644"/>
      <c r="D117" s="645"/>
      <c r="E117" s="644"/>
      <c r="F117" s="644"/>
      <c r="G117" s="646"/>
      <c r="H117" s="647"/>
      <c r="I117" s="647"/>
      <c r="J117" s="690"/>
      <c r="K117" s="649"/>
    </row>
    <row r="118" spans="1:11" ht="16.5">
      <c r="A118" s="689"/>
      <c r="B118" s="646"/>
      <c r="C118" s="644"/>
      <c r="D118" s="645"/>
      <c r="E118" s="644"/>
      <c r="F118" s="644"/>
      <c r="G118" s="646"/>
      <c r="H118" s="647"/>
      <c r="I118" s="647"/>
      <c r="J118" s="690"/>
      <c r="K118" s="649"/>
    </row>
    <row r="119" spans="1:11" ht="16.5">
      <c r="A119" s="689"/>
      <c r="B119" s="646"/>
      <c r="C119" s="644"/>
      <c r="D119" s="645"/>
      <c r="E119" s="644"/>
      <c r="F119" s="644"/>
      <c r="G119" s="646"/>
      <c r="H119" s="647"/>
      <c r="I119" s="647"/>
      <c r="J119" s="690"/>
      <c r="K119" s="649"/>
    </row>
    <row r="120" spans="1:11" ht="16.5">
      <c r="A120" s="689"/>
      <c r="B120" s="646"/>
      <c r="C120" s="644"/>
      <c r="D120" s="645"/>
      <c r="E120" s="644"/>
      <c r="F120" s="644"/>
      <c r="G120" s="646"/>
      <c r="H120" s="647"/>
      <c r="I120" s="647"/>
      <c r="J120" s="690"/>
      <c r="K120" s="649"/>
    </row>
    <row r="121" spans="1:11" ht="16.5">
      <c r="A121" s="689"/>
      <c r="B121" s="646"/>
      <c r="C121" s="644"/>
      <c r="D121" s="645"/>
      <c r="E121" s="644"/>
      <c r="F121" s="644"/>
      <c r="G121" s="646"/>
      <c r="H121" s="647"/>
      <c r="I121" s="647"/>
      <c r="J121" s="690"/>
      <c r="K121" s="649"/>
    </row>
    <row r="122" spans="1:11" ht="16.5">
      <c r="A122" s="689"/>
      <c r="B122" s="646"/>
      <c r="C122" s="644"/>
      <c r="D122" s="645"/>
      <c r="E122" s="644"/>
      <c r="F122" s="644"/>
      <c r="G122" s="646"/>
      <c r="H122" s="647"/>
      <c r="I122" s="647"/>
      <c r="J122" s="690"/>
      <c r="K122" s="649"/>
    </row>
    <row r="123" spans="1:11" ht="16.5">
      <c r="A123" s="689"/>
      <c r="B123" s="646"/>
      <c r="C123" s="644"/>
      <c r="D123" s="645"/>
      <c r="E123" s="644"/>
      <c r="F123" s="644"/>
      <c r="G123" s="646"/>
      <c r="H123" s="647"/>
      <c r="I123" s="647"/>
      <c r="J123" s="690"/>
      <c r="K123" s="649"/>
    </row>
    <row r="124" spans="1:11" ht="16.5">
      <c r="A124" s="689"/>
      <c r="B124" s="646"/>
      <c r="C124" s="644"/>
      <c r="D124" s="645"/>
      <c r="E124" s="644"/>
      <c r="F124" s="644"/>
      <c r="G124" s="646"/>
      <c r="H124" s="647"/>
      <c r="I124" s="647"/>
      <c r="J124" s="690"/>
      <c r="K124" s="649"/>
    </row>
    <row r="125" spans="1:11" ht="16.5">
      <c r="A125" s="689"/>
      <c r="B125" s="646"/>
      <c r="C125" s="644"/>
      <c r="D125" s="645"/>
      <c r="E125" s="644"/>
      <c r="F125" s="644"/>
      <c r="G125" s="646"/>
      <c r="H125" s="647"/>
      <c r="I125" s="647"/>
      <c r="J125" s="690"/>
      <c r="K125" s="649"/>
    </row>
    <row r="126" spans="1:11" ht="16.5">
      <c r="A126" s="689"/>
      <c r="B126" s="646"/>
      <c r="C126" s="644"/>
      <c r="D126" s="645"/>
      <c r="E126" s="644"/>
      <c r="F126" s="644"/>
      <c r="G126" s="646"/>
      <c r="H126" s="647"/>
      <c r="I126" s="647"/>
      <c r="J126" s="690"/>
      <c r="K126" s="649"/>
    </row>
    <row r="127" spans="1:11" ht="16.5">
      <c r="A127" s="689"/>
      <c r="B127" s="646"/>
      <c r="C127" s="644"/>
      <c r="D127" s="645"/>
      <c r="E127" s="644"/>
      <c r="F127" s="644"/>
      <c r="G127" s="646"/>
      <c r="H127" s="647"/>
      <c r="I127" s="647"/>
      <c r="J127" s="690"/>
      <c r="K127" s="649"/>
    </row>
    <row r="128" spans="1:11" ht="16.5">
      <c r="A128" s="689"/>
      <c r="B128" s="646"/>
      <c r="C128" s="644"/>
      <c r="D128" s="645"/>
      <c r="E128" s="644"/>
      <c r="F128" s="644"/>
      <c r="G128" s="646"/>
      <c r="H128" s="647"/>
      <c r="I128" s="647"/>
      <c r="J128" s="690"/>
      <c r="K128" s="649"/>
    </row>
    <row r="129" spans="1:11" ht="16.5">
      <c r="A129" s="689"/>
      <c r="B129" s="646"/>
      <c r="C129" s="644"/>
      <c r="D129" s="645"/>
      <c r="E129" s="644"/>
      <c r="F129" s="644"/>
      <c r="G129" s="646"/>
      <c r="H129" s="647"/>
      <c r="I129" s="647"/>
      <c r="J129" s="690"/>
      <c r="K129" s="649"/>
    </row>
    <row r="130" spans="1:11" ht="16.5">
      <c r="A130" s="689"/>
      <c r="B130" s="646"/>
      <c r="C130" s="644"/>
      <c r="D130" s="645"/>
      <c r="E130" s="644"/>
      <c r="F130" s="644"/>
      <c r="G130" s="646"/>
      <c r="H130" s="647"/>
      <c r="I130" s="647"/>
      <c r="J130" s="690"/>
      <c r="K130" s="649"/>
    </row>
    <row r="131" spans="1:11" ht="16.5">
      <c r="A131" s="689"/>
      <c r="B131" s="646"/>
      <c r="C131" s="644"/>
      <c r="D131" s="645"/>
      <c r="E131" s="644"/>
      <c r="F131" s="644"/>
      <c r="G131" s="646"/>
      <c r="H131" s="647"/>
      <c r="I131" s="647"/>
      <c r="J131" s="690"/>
      <c r="K131" s="649"/>
    </row>
    <row r="132" spans="1:11" ht="16.5">
      <c r="A132" s="689"/>
      <c r="B132" s="646"/>
      <c r="C132" s="644"/>
      <c r="D132" s="645"/>
      <c r="E132" s="644"/>
      <c r="F132" s="644"/>
      <c r="G132" s="646"/>
      <c r="H132" s="647"/>
      <c r="I132" s="647"/>
      <c r="J132" s="690"/>
      <c r="K132" s="649"/>
    </row>
    <row r="133" spans="1:11" ht="16.5">
      <c r="A133" s="689"/>
      <c r="B133" s="646"/>
      <c r="C133" s="644"/>
      <c r="D133" s="645"/>
      <c r="E133" s="644"/>
      <c r="F133" s="644"/>
      <c r="G133" s="646"/>
      <c r="H133" s="647"/>
      <c r="I133" s="647"/>
      <c r="J133" s="690"/>
      <c r="K133" s="649"/>
    </row>
    <row r="134" spans="1:11" ht="16.5">
      <c r="A134" s="689"/>
      <c r="B134" s="646"/>
      <c r="C134" s="644"/>
      <c r="D134" s="645"/>
      <c r="E134" s="644"/>
      <c r="F134" s="644"/>
      <c r="G134" s="646"/>
      <c r="H134" s="647"/>
      <c r="I134" s="647"/>
      <c r="J134" s="690"/>
      <c r="K134" s="649"/>
    </row>
    <row r="135" spans="1:11" ht="16.5">
      <c r="A135" s="689"/>
      <c r="B135" s="646"/>
      <c r="C135" s="644"/>
      <c r="D135" s="645"/>
      <c r="E135" s="644"/>
      <c r="F135" s="644"/>
      <c r="G135" s="646"/>
      <c r="H135" s="647"/>
      <c r="I135" s="647"/>
      <c r="J135" s="690"/>
      <c r="K135" s="649"/>
    </row>
    <row r="136" spans="1:11" ht="16.5">
      <c r="A136" s="689"/>
      <c r="B136" s="646"/>
      <c r="C136" s="644"/>
      <c r="D136" s="645"/>
      <c r="E136" s="644"/>
      <c r="F136" s="644"/>
      <c r="G136" s="646"/>
      <c r="H136" s="647"/>
      <c r="I136" s="647"/>
      <c r="J136" s="690"/>
      <c r="K136" s="649"/>
    </row>
    <row r="137" spans="1:11" ht="16.5">
      <c r="A137" s="689"/>
      <c r="B137" s="646"/>
      <c r="C137" s="644"/>
      <c r="D137" s="645"/>
      <c r="E137" s="644"/>
      <c r="F137" s="644"/>
      <c r="G137" s="646"/>
      <c r="H137" s="647"/>
      <c r="I137" s="647"/>
      <c r="J137" s="690"/>
      <c r="K137" s="649"/>
    </row>
    <row r="138" spans="1:11" ht="16.5">
      <c r="A138" s="689"/>
      <c r="B138" s="646"/>
      <c r="C138" s="644"/>
      <c r="D138" s="645"/>
      <c r="E138" s="644"/>
      <c r="F138" s="644"/>
      <c r="G138" s="646"/>
      <c r="H138" s="647"/>
      <c r="I138" s="647"/>
      <c r="J138" s="690"/>
      <c r="K138" s="649"/>
    </row>
    <row r="139" spans="1:11" ht="16.5">
      <c r="A139" s="689"/>
      <c r="B139" s="646"/>
      <c r="C139" s="644"/>
      <c r="D139" s="645"/>
      <c r="E139" s="644"/>
      <c r="F139" s="644"/>
      <c r="G139" s="646"/>
      <c r="H139" s="647"/>
      <c r="I139" s="647"/>
      <c r="J139" s="690"/>
      <c r="K139" s="649"/>
    </row>
    <row r="140" spans="1:11" ht="16.5">
      <c r="A140" s="689"/>
      <c r="B140" s="646"/>
      <c r="C140" s="644"/>
      <c r="D140" s="645"/>
      <c r="E140" s="644"/>
      <c r="F140" s="644"/>
      <c r="G140" s="646"/>
      <c r="H140" s="647"/>
      <c r="I140" s="647"/>
      <c r="J140" s="690"/>
      <c r="K140" s="649"/>
    </row>
    <row r="141" spans="1:11" ht="16.5">
      <c r="A141" s="689"/>
      <c r="B141" s="646"/>
      <c r="C141" s="644"/>
      <c r="D141" s="645"/>
      <c r="E141" s="644"/>
      <c r="F141" s="644"/>
      <c r="G141" s="646"/>
      <c r="H141" s="647"/>
      <c r="I141" s="647"/>
      <c r="J141" s="690"/>
      <c r="K141" s="649"/>
    </row>
    <row r="142" spans="1:11" ht="16.5">
      <c r="A142" s="689"/>
      <c r="B142" s="646"/>
      <c r="C142" s="644"/>
      <c r="D142" s="645"/>
      <c r="E142" s="644"/>
      <c r="F142" s="644"/>
      <c r="G142" s="646"/>
      <c r="H142" s="647"/>
      <c r="I142" s="647"/>
      <c r="J142" s="690"/>
      <c r="K142" s="649"/>
    </row>
    <row r="143" spans="1:11" ht="16.5">
      <c r="A143" s="689"/>
      <c r="B143" s="646"/>
      <c r="C143" s="644"/>
      <c r="D143" s="645"/>
      <c r="E143" s="644"/>
      <c r="F143" s="644"/>
      <c r="G143" s="646"/>
      <c r="H143" s="647"/>
      <c r="I143" s="647"/>
      <c r="J143" s="690"/>
      <c r="K143" s="649"/>
    </row>
    <row r="144" spans="1:11" ht="16.5">
      <c r="A144" s="689"/>
      <c r="B144" s="646"/>
      <c r="C144" s="644"/>
      <c r="D144" s="645"/>
      <c r="E144" s="644"/>
      <c r="F144" s="644"/>
      <c r="G144" s="646"/>
      <c r="H144" s="647"/>
      <c r="I144" s="647"/>
      <c r="J144" s="690"/>
      <c r="K144" s="649"/>
    </row>
    <row r="145" spans="1:11" ht="16.5">
      <c r="A145" s="689"/>
      <c r="B145" s="646"/>
      <c r="C145" s="644"/>
      <c r="D145" s="645"/>
      <c r="E145" s="644"/>
      <c r="F145" s="644"/>
      <c r="G145" s="646"/>
      <c r="H145" s="647"/>
      <c r="I145" s="647"/>
      <c r="J145" s="690"/>
      <c r="K145" s="649"/>
    </row>
    <row r="146" spans="1:11" ht="16.5">
      <c r="A146" s="689"/>
      <c r="B146" s="646"/>
      <c r="C146" s="644"/>
      <c r="D146" s="645"/>
      <c r="E146" s="644"/>
      <c r="F146" s="644"/>
      <c r="G146" s="646"/>
      <c r="H146" s="647"/>
      <c r="I146" s="647"/>
      <c r="J146" s="690"/>
      <c r="K146" s="649"/>
    </row>
    <row r="147" spans="1:11" ht="16.5">
      <c r="A147" s="689"/>
      <c r="B147" s="646"/>
      <c r="C147" s="644"/>
      <c r="D147" s="645"/>
      <c r="E147" s="644"/>
      <c r="F147" s="644"/>
      <c r="G147" s="646"/>
      <c r="H147" s="647"/>
      <c r="I147" s="647"/>
      <c r="J147" s="690"/>
      <c r="K147" s="649"/>
    </row>
    <row r="148" spans="1:11" ht="16.5">
      <c r="A148" s="689"/>
      <c r="B148" s="646"/>
      <c r="C148" s="644"/>
      <c r="D148" s="645"/>
      <c r="E148" s="644"/>
      <c r="F148" s="644"/>
      <c r="G148" s="646"/>
      <c r="H148" s="647"/>
      <c r="I148" s="647"/>
      <c r="J148" s="690"/>
      <c r="K148" s="649"/>
    </row>
    <row r="149" spans="1:11" ht="16.5">
      <c r="A149" s="689"/>
      <c r="B149" s="646"/>
      <c r="C149" s="644"/>
      <c r="D149" s="645"/>
      <c r="E149" s="644"/>
      <c r="F149" s="644"/>
      <c r="G149" s="646"/>
      <c r="H149" s="647"/>
      <c r="I149" s="647"/>
      <c r="J149" s="690"/>
      <c r="K149" s="649"/>
    </row>
    <row r="150" spans="1:11" ht="16.5">
      <c r="A150" s="689"/>
      <c r="B150" s="646"/>
      <c r="C150" s="644"/>
      <c r="D150" s="645"/>
      <c r="E150" s="644"/>
      <c r="F150" s="644"/>
      <c r="G150" s="646"/>
      <c r="H150" s="647"/>
      <c r="I150" s="647"/>
      <c r="J150" s="690"/>
      <c r="K150" s="649"/>
    </row>
    <row r="151" spans="1:11" ht="16.5">
      <c r="A151" s="689"/>
      <c r="B151" s="646"/>
      <c r="C151" s="644"/>
      <c r="D151" s="645"/>
      <c r="E151" s="644"/>
      <c r="F151" s="644"/>
      <c r="G151" s="646"/>
      <c r="H151" s="647"/>
      <c r="I151" s="647"/>
      <c r="J151" s="690"/>
      <c r="K151" s="649"/>
    </row>
    <row r="152" spans="1:11" ht="16.5">
      <c r="A152" s="689"/>
      <c r="B152" s="646"/>
      <c r="C152" s="644"/>
      <c r="D152" s="645"/>
      <c r="E152" s="644"/>
      <c r="F152" s="644"/>
      <c r="G152" s="646"/>
      <c r="H152" s="647"/>
      <c r="I152" s="647"/>
      <c r="J152" s="690"/>
      <c r="K152" s="649"/>
    </row>
    <row r="153" spans="1:11" ht="16.5">
      <c r="A153" s="689"/>
      <c r="B153" s="646"/>
      <c r="C153" s="644"/>
      <c r="D153" s="645"/>
      <c r="E153" s="644"/>
      <c r="F153" s="644"/>
      <c r="G153" s="646"/>
      <c r="H153" s="647"/>
      <c r="I153" s="647"/>
      <c r="J153" s="690"/>
      <c r="K153" s="649"/>
    </row>
    <row r="154" spans="1:11" ht="16.5">
      <c r="A154" s="689"/>
      <c r="B154" s="646"/>
      <c r="C154" s="644"/>
      <c r="D154" s="645"/>
      <c r="E154" s="644"/>
      <c r="F154" s="644"/>
      <c r="G154" s="646"/>
      <c r="H154" s="647"/>
      <c r="I154" s="647"/>
      <c r="J154" s="690"/>
      <c r="K154" s="649"/>
    </row>
    <row r="155" spans="1:11" ht="16.5">
      <c r="A155" s="689"/>
      <c r="B155" s="646"/>
      <c r="C155" s="644"/>
      <c r="D155" s="645"/>
      <c r="E155" s="644"/>
      <c r="F155" s="644"/>
      <c r="G155" s="646"/>
      <c r="H155" s="647"/>
      <c r="I155" s="647"/>
      <c r="J155" s="690"/>
      <c r="K155" s="649"/>
    </row>
    <row r="156" spans="1:11" ht="16.5">
      <c r="A156" s="689"/>
      <c r="B156" s="646"/>
      <c r="C156" s="644"/>
      <c r="D156" s="645"/>
      <c r="E156" s="644"/>
      <c r="F156" s="644"/>
      <c r="G156" s="646"/>
      <c r="H156" s="647"/>
      <c r="I156" s="647"/>
      <c r="J156" s="690"/>
      <c r="K156" s="649"/>
    </row>
    <row r="157" spans="1:11" ht="16.5">
      <c r="A157" s="689"/>
      <c r="B157" s="646"/>
      <c r="C157" s="644"/>
      <c r="D157" s="645"/>
      <c r="E157" s="644"/>
      <c r="F157" s="644"/>
      <c r="G157" s="646"/>
      <c r="H157" s="647"/>
      <c r="I157" s="647"/>
      <c r="J157" s="690"/>
      <c r="K157" s="649"/>
    </row>
    <row r="158" spans="1:11" ht="16.5">
      <c r="A158" s="689"/>
      <c r="B158" s="646"/>
      <c r="C158" s="644"/>
      <c r="D158" s="645"/>
      <c r="E158" s="644"/>
      <c r="F158" s="644"/>
      <c r="G158" s="646"/>
      <c r="H158" s="647"/>
      <c r="I158" s="647"/>
      <c r="J158" s="690"/>
      <c r="K158" s="649"/>
    </row>
    <row r="159" spans="1:11" ht="16.5">
      <c r="A159" s="689"/>
      <c r="B159" s="646"/>
      <c r="C159" s="644"/>
      <c r="D159" s="645"/>
      <c r="E159" s="644"/>
      <c r="F159" s="644"/>
      <c r="G159" s="646"/>
      <c r="H159" s="647"/>
      <c r="I159" s="647"/>
      <c r="J159" s="690"/>
      <c r="K159" s="649"/>
    </row>
    <row r="160" spans="1:11" ht="16.5">
      <c r="A160" s="689"/>
      <c r="B160" s="646"/>
      <c r="C160" s="644"/>
      <c r="D160" s="645"/>
      <c r="E160" s="644"/>
      <c r="F160" s="644"/>
      <c r="G160" s="646"/>
      <c r="H160" s="647"/>
      <c r="I160" s="647"/>
      <c r="J160" s="690"/>
      <c r="K160" s="649"/>
    </row>
    <row r="161" spans="1:11" ht="16.5">
      <c r="A161" s="689"/>
      <c r="B161" s="646"/>
      <c r="C161" s="644"/>
      <c r="D161" s="645"/>
      <c r="E161" s="644"/>
      <c r="F161" s="644"/>
      <c r="G161" s="646"/>
      <c r="H161" s="647"/>
      <c r="I161" s="647"/>
      <c r="J161" s="690"/>
      <c r="K161" s="649"/>
    </row>
    <row r="162" spans="1:11" ht="16.5">
      <c r="A162" s="689"/>
      <c r="B162" s="646"/>
      <c r="C162" s="644"/>
      <c r="D162" s="645"/>
      <c r="E162" s="644"/>
      <c r="F162" s="644"/>
      <c r="G162" s="646"/>
      <c r="H162" s="647"/>
      <c r="I162" s="647"/>
      <c r="J162" s="690"/>
      <c r="K162" s="649"/>
    </row>
  </sheetData>
  <sheetProtection/>
  <mergeCells count="3">
    <mergeCell ref="I1:J1"/>
    <mergeCell ref="A3:J3"/>
    <mergeCell ref="B2:J2"/>
  </mergeCells>
  <printOptions horizontalCentered="1"/>
  <pageMargins left="0.73" right="0.5" top="0.748031496062992" bottom="0.65" header="0.511811023622047" footer="0.33"/>
  <pageSetup fitToHeight="0" horizontalDpi="600" verticalDpi="600" orientation="landscape" paperSize="9" scale="90" r:id="rId1"/>
  <headerFooter alignWithMargins="0">
    <oddFooter>&amp;R&amp;"Times New Roman,Regular"&amp;12&amp;P/&amp;N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247"/>
  <sheetViews>
    <sheetView zoomScale="70" zoomScaleNormal="70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6.57421875" style="725" customWidth="1"/>
    <col min="2" max="2" width="40.8515625" style="726" customWidth="1"/>
    <col min="3" max="3" width="13.8515625" style="727" customWidth="1"/>
    <col min="4" max="4" width="11.7109375" style="725" customWidth="1"/>
    <col min="5" max="5" width="10.00390625" style="705" customWidth="1"/>
    <col min="6" max="6" width="10.8515625" style="705" customWidth="1"/>
    <col min="7" max="7" width="11.28125" style="705" customWidth="1"/>
    <col min="8" max="8" width="10.7109375" style="705" customWidth="1"/>
    <col min="9" max="9" width="11.7109375" style="705" customWidth="1"/>
    <col min="10" max="10" width="15.7109375" style="705" customWidth="1"/>
    <col min="11" max="11" width="4.57421875" style="705" customWidth="1"/>
    <col min="12" max="16384" width="9.140625" style="705" customWidth="1"/>
  </cols>
  <sheetData>
    <row r="1" spans="1:10" s="926" customFormat="1" ht="26.25" customHeight="1">
      <c r="A1" s="924"/>
      <c r="B1" s="860" t="s">
        <v>573</v>
      </c>
      <c r="C1" s="925"/>
      <c r="D1" s="924"/>
      <c r="G1" s="908"/>
      <c r="H1" s="917" t="s">
        <v>342</v>
      </c>
      <c r="I1" s="1213" t="s">
        <v>331</v>
      </c>
      <c r="J1" s="1213"/>
    </row>
    <row r="2" spans="1:10" ht="22.5" customHeight="1">
      <c r="A2" s="1227" t="s">
        <v>482</v>
      </c>
      <c r="B2" s="1227"/>
      <c r="C2" s="1227"/>
      <c r="D2" s="1227"/>
      <c r="E2" s="1227"/>
      <c r="F2" s="1227"/>
      <c r="G2" s="1227"/>
      <c r="H2" s="1227"/>
      <c r="I2" s="1227"/>
      <c r="J2" s="1227"/>
    </row>
    <row r="3" spans="1:10" ht="21.75" customHeight="1">
      <c r="A3" s="1224" t="s">
        <v>711</v>
      </c>
      <c r="B3" s="1225"/>
      <c r="C3" s="1225"/>
      <c r="D3" s="1225"/>
      <c r="E3" s="1225"/>
      <c r="F3" s="1225"/>
      <c r="G3" s="1225"/>
      <c r="H3" s="1225"/>
      <c r="I3" s="1225"/>
      <c r="J3" s="1225"/>
    </row>
    <row r="4" spans="1:10" ht="13.5" customHeight="1">
      <c r="A4" s="706"/>
      <c r="B4" s="707"/>
      <c r="C4" s="708"/>
      <c r="D4" s="706"/>
      <c r="E4" s="709"/>
      <c r="F4" s="709"/>
      <c r="G4" s="709"/>
      <c r="H4" s="709"/>
      <c r="I4" s="709"/>
      <c r="J4" s="710"/>
    </row>
    <row r="5" spans="1:10" s="712" customFormat="1" ht="63" customHeight="1">
      <c r="A5" s="711" t="s">
        <v>0</v>
      </c>
      <c r="B5" s="711" t="s">
        <v>287</v>
      </c>
      <c r="C5" s="711" t="s">
        <v>184</v>
      </c>
      <c r="D5" s="711" t="s">
        <v>574</v>
      </c>
      <c r="E5" s="711" t="s">
        <v>333</v>
      </c>
      <c r="F5" s="711" t="s">
        <v>334</v>
      </c>
      <c r="G5" s="711" t="s">
        <v>335</v>
      </c>
      <c r="H5" s="711" t="s">
        <v>336</v>
      </c>
      <c r="I5" s="711" t="s">
        <v>337</v>
      </c>
      <c r="J5" s="711" t="s">
        <v>338</v>
      </c>
    </row>
    <row r="6" spans="1:10" s="713" customFormat="1" ht="31.5" customHeight="1">
      <c r="A6" s="711" t="s">
        <v>3</v>
      </c>
      <c r="B6" s="711" t="s">
        <v>737</v>
      </c>
      <c r="C6" s="711"/>
      <c r="D6" s="1034">
        <v>38193.689737107</v>
      </c>
      <c r="E6" s="1002">
        <v>6338.571</v>
      </c>
      <c r="F6" s="1002">
        <f>F16</f>
        <v>10350</v>
      </c>
      <c r="G6" s="1002">
        <f>G16</f>
        <v>10850</v>
      </c>
      <c r="H6" s="1002">
        <f>H16</f>
        <v>11350</v>
      </c>
      <c r="I6" s="1002">
        <f>I16</f>
        <v>12000</v>
      </c>
      <c r="J6" s="1003">
        <f>SUM(E6:I6)</f>
        <v>50888.570999999996</v>
      </c>
    </row>
    <row r="7" spans="1:10" s="714" customFormat="1" ht="31.5" customHeight="1">
      <c r="A7" s="1004"/>
      <c r="B7" s="1005" t="s">
        <v>473</v>
      </c>
      <c r="C7" s="1006" t="s">
        <v>5</v>
      </c>
      <c r="D7" s="1007"/>
      <c r="E7" s="1008"/>
      <c r="F7" s="1009">
        <f>F8/E8</f>
        <v>1.0638297872340425</v>
      </c>
      <c r="G7" s="1009">
        <f>G6/F6</f>
        <v>1.0483091787439613</v>
      </c>
      <c r="H7" s="1009">
        <f>H6/G6</f>
        <v>1.0460829493087558</v>
      </c>
      <c r="I7" s="1009">
        <f>I6/H6</f>
        <v>1.0572687224669604</v>
      </c>
      <c r="J7" s="1008"/>
    </row>
    <row r="8" spans="1:18" ht="33.75" customHeight="1">
      <c r="A8" s="1006">
        <v>1</v>
      </c>
      <c r="B8" s="1010" t="s">
        <v>575</v>
      </c>
      <c r="C8" s="1006" t="s">
        <v>368</v>
      </c>
      <c r="D8" s="1036">
        <v>2795.74433608</v>
      </c>
      <c r="E8" s="1157">
        <v>940</v>
      </c>
      <c r="F8" s="1157">
        <v>1000</v>
      </c>
      <c r="G8" s="1157">
        <v>1065</v>
      </c>
      <c r="H8" s="1157">
        <v>1130</v>
      </c>
      <c r="I8" s="1157">
        <v>1200</v>
      </c>
      <c r="J8" s="1012">
        <f>SUM(E8:I8)</f>
        <v>5335</v>
      </c>
      <c r="K8" s="715"/>
      <c r="L8" s="715">
        <f>940*1.065</f>
        <v>1001.0999999999999</v>
      </c>
      <c r="M8" s="715">
        <f>L8*1.063</f>
        <v>1064.1692999999998</v>
      </c>
      <c r="N8" s="715">
        <f>M8*1.063</f>
        <v>1131.2119658999998</v>
      </c>
      <c r="O8" s="715">
        <f>N8*1.063</f>
        <v>1202.4783197516997</v>
      </c>
      <c r="P8" s="715"/>
      <c r="Q8" s="715"/>
      <c r="R8" s="715"/>
    </row>
    <row r="9" spans="1:18" s="717" customFormat="1" ht="37.5" customHeight="1">
      <c r="A9" s="1013"/>
      <c r="B9" s="1004" t="s">
        <v>576</v>
      </c>
      <c r="C9" s="1013" t="s">
        <v>5</v>
      </c>
      <c r="D9" s="1014">
        <f aca="true" t="shared" si="0" ref="D9:J9">D8/D6</f>
        <v>0.07319911627610569</v>
      </c>
      <c r="E9" s="1014">
        <f t="shared" si="0"/>
        <v>0.14829840984663578</v>
      </c>
      <c r="F9" s="1014">
        <f t="shared" si="0"/>
        <v>0.0966183574879227</v>
      </c>
      <c r="G9" s="1014">
        <f t="shared" si="0"/>
        <v>0.09815668202764977</v>
      </c>
      <c r="H9" s="1014">
        <f t="shared" si="0"/>
        <v>0.09955947136563877</v>
      </c>
      <c r="I9" s="1014">
        <f t="shared" si="0"/>
        <v>0.1</v>
      </c>
      <c r="J9" s="1014">
        <f t="shared" si="0"/>
        <v>0.10483689942875386</v>
      </c>
      <c r="K9" s="716"/>
      <c r="L9" s="716"/>
      <c r="M9" s="716"/>
      <c r="N9" s="716"/>
      <c r="O9" s="716"/>
      <c r="P9" s="716"/>
      <c r="Q9" s="716"/>
      <c r="R9" s="716"/>
    </row>
    <row r="10" spans="1:18" ht="39" customHeight="1">
      <c r="A10" s="1006">
        <v>2</v>
      </c>
      <c r="B10" s="1010" t="s">
        <v>577</v>
      </c>
      <c r="C10" s="1006" t="s">
        <v>368</v>
      </c>
      <c r="D10" s="1011">
        <v>0</v>
      </c>
      <c r="E10" s="1012"/>
      <c r="F10" s="1158"/>
      <c r="G10" s="1159"/>
      <c r="H10" s="1015"/>
      <c r="I10" s="1015"/>
      <c r="J10" s="1160"/>
      <c r="K10" s="715"/>
      <c r="L10" s="715"/>
      <c r="M10" s="715"/>
      <c r="N10" s="715"/>
      <c r="O10" s="715"/>
      <c r="P10" s="715"/>
      <c r="Q10" s="715"/>
      <c r="R10" s="715"/>
    </row>
    <row r="11" spans="1:18" s="717" customFormat="1" ht="32.25" customHeight="1">
      <c r="A11" s="1013"/>
      <c r="B11" s="1004" t="s">
        <v>578</v>
      </c>
      <c r="C11" s="1013" t="s">
        <v>5</v>
      </c>
      <c r="D11" s="1016"/>
      <c r="E11" s="1008"/>
      <c r="F11" s="1017"/>
      <c r="G11" s="1018"/>
      <c r="H11" s="1019"/>
      <c r="I11" s="1019"/>
      <c r="J11" s="1019"/>
      <c r="K11" s="716"/>
      <c r="L11" s="716"/>
      <c r="M11" s="716"/>
      <c r="N11" s="716"/>
      <c r="O11" s="716"/>
      <c r="P11" s="716"/>
      <c r="Q11" s="716"/>
      <c r="R11" s="716"/>
    </row>
    <row r="12" spans="1:18" ht="36" customHeight="1">
      <c r="A12" s="1006">
        <v>3</v>
      </c>
      <c r="B12" s="1010" t="s">
        <v>579</v>
      </c>
      <c r="C12" s="1006" t="s">
        <v>368</v>
      </c>
      <c r="D12" s="1037">
        <v>93.804461467</v>
      </c>
      <c r="E12" s="1012">
        <v>24.5</v>
      </c>
      <c r="F12" s="1158"/>
      <c r="G12" s="1161"/>
      <c r="H12" s="1015"/>
      <c r="I12" s="1015"/>
      <c r="J12" s="1015"/>
      <c r="K12" s="715"/>
      <c r="L12" s="715"/>
      <c r="M12" s="715"/>
      <c r="N12" s="715"/>
      <c r="O12" s="715"/>
      <c r="P12" s="715"/>
      <c r="Q12" s="715"/>
      <c r="R12" s="715"/>
    </row>
    <row r="13" spans="1:18" s="717" customFormat="1" ht="37.5" customHeight="1">
      <c r="A13" s="1013"/>
      <c r="B13" s="1004" t="s">
        <v>580</v>
      </c>
      <c r="C13" s="1013" t="s">
        <v>5</v>
      </c>
      <c r="D13" s="1020">
        <f>D12/D6</f>
        <v>0.0024560198847681496</v>
      </c>
      <c r="E13" s="1008"/>
      <c r="F13" s="1017"/>
      <c r="G13" s="1021"/>
      <c r="H13" s="1019"/>
      <c r="I13" s="1019"/>
      <c r="J13" s="1019"/>
      <c r="K13" s="716"/>
      <c r="L13" s="716"/>
      <c r="M13" s="716"/>
      <c r="N13" s="716"/>
      <c r="O13" s="716"/>
      <c r="P13" s="716"/>
      <c r="Q13" s="716"/>
      <c r="R13" s="716"/>
    </row>
    <row r="14" spans="1:18" ht="37.5" customHeight="1">
      <c r="A14" s="1006">
        <v>4</v>
      </c>
      <c r="B14" s="1010" t="s">
        <v>581</v>
      </c>
      <c r="C14" s="1006" t="s">
        <v>368</v>
      </c>
      <c r="D14" s="1037">
        <v>51.60102</v>
      </c>
      <c r="E14" s="1012"/>
      <c r="F14" s="1158"/>
      <c r="G14" s="1161"/>
      <c r="H14" s="1015"/>
      <c r="I14" s="1015"/>
      <c r="J14" s="1015"/>
      <c r="K14" s="715"/>
      <c r="L14" s="715"/>
      <c r="M14" s="715"/>
      <c r="N14" s="715"/>
      <c r="O14" s="715"/>
      <c r="P14" s="715"/>
      <c r="Q14" s="715"/>
      <c r="R14" s="715"/>
    </row>
    <row r="15" spans="1:18" s="717" customFormat="1" ht="31.5" customHeight="1">
      <c r="A15" s="1013"/>
      <c r="B15" s="1005" t="s">
        <v>582</v>
      </c>
      <c r="C15" s="1013" t="s">
        <v>5</v>
      </c>
      <c r="D15" s="1020">
        <f>D14/D6</f>
        <v>0.0013510352195657896</v>
      </c>
      <c r="E15" s="1019">
        <f>E18+E20+E22+E24</f>
        <v>6338.571000000001</v>
      </c>
      <c r="F15" s="1019">
        <f>F18+F20+F22+F24</f>
        <v>10350</v>
      </c>
      <c r="G15" s="1019">
        <f>G18+G20+G22+G24</f>
        <v>10850</v>
      </c>
      <c r="H15" s="1019">
        <f>H18+H20+H22+H24</f>
        <v>11350</v>
      </c>
      <c r="I15" s="1019">
        <f>I18+I20+I22+I24</f>
        <v>12000</v>
      </c>
      <c r="J15" s="1022"/>
      <c r="K15" s="716"/>
      <c r="L15" s="716"/>
      <c r="M15" s="716"/>
      <c r="N15" s="716"/>
      <c r="O15" s="716"/>
      <c r="P15" s="716"/>
      <c r="Q15" s="716"/>
      <c r="R15" s="716"/>
    </row>
    <row r="16" spans="1:11" s="713" customFormat="1" ht="29.25" customHeight="1">
      <c r="A16" s="711" t="s">
        <v>11</v>
      </c>
      <c r="B16" s="1023" t="s">
        <v>583</v>
      </c>
      <c r="C16" s="711"/>
      <c r="D16" s="1035">
        <v>37931.472289635</v>
      </c>
      <c r="E16" s="1024">
        <f>E6</f>
        <v>6338.571</v>
      </c>
      <c r="F16" s="1024">
        <v>10350</v>
      </c>
      <c r="G16" s="1024">
        <v>10850</v>
      </c>
      <c r="H16" s="1024">
        <v>11350</v>
      </c>
      <c r="I16" s="1024">
        <v>12000</v>
      </c>
      <c r="J16" s="1024">
        <f>SUM(E16:I16)</f>
        <v>50888.570999999996</v>
      </c>
      <c r="K16" s="718"/>
    </row>
    <row r="17" spans="1:11" ht="30" customHeight="1">
      <c r="A17" s="1006"/>
      <c r="B17" s="1025" t="s">
        <v>473</v>
      </c>
      <c r="C17" s="1006" t="s">
        <v>5</v>
      </c>
      <c r="D17" s="1020"/>
      <c r="E17" s="1012"/>
      <c r="F17" s="1009">
        <f>F16/E16</f>
        <v>1.6328601509709366</v>
      </c>
      <c r="G17" s="1009">
        <f>G16/F16</f>
        <v>1.0483091787439613</v>
      </c>
      <c r="H17" s="1009">
        <f>H16/G16</f>
        <v>1.0460829493087558</v>
      </c>
      <c r="I17" s="1009">
        <f>I16/H16</f>
        <v>1.0572687224669604</v>
      </c>
      <c r="J17" s="1015"/>
      <c r="K17" s="715"/>
    </row>
    <row r="18" spans="1:10" s="717" customFormat="1" ht="36.75" customHeight="1">
      <c r="A18" s="1006">
        <v>1</v>
      </c>
      <c r="B18" s="1026" t="s">
        <v>584</v>
      </c>
      <c r="C18" s="1006" t="s">
        <v>368</v>
      </c>
      <c r="D18" s="1038">
        <v>23964.25066382</v>
      </c>
      <c r="E18" s="1033">
        <v>5017.322</v>
      </c>
      <c r="F18" s="1033">
        <v>7120</v>
      </c>
      <c r="G18" s="1033">
        <v>7580</v>
      </c>
      <c r="H18" s="1033">
        <v>8180</v>
      </c>
      <c r="I18" s="1033">
        <v>8850</v>
      </c>
      <c r="J18" s="1012">
        <f>SUM(E18:I18)</f>
        <v>36747.322</v>
      </c>
    </row>
    <row r="19" spans="1:10" s="717" customFormat="1" ht="36.75" customHeight="1">
      <c r="A19" s="1006"/>
      <c r="B19" s="1004" t="s">
        <v>585</v>
      </c>
      <c r="C19" s="1013" t="s">
        <v>5</v>
      </c>
      <c r="D19" s="1027">
        <f aca="true" t="shared" si="1" ref="D19:J19">D18/D16</f>
        <v>0.6317774981375657</v>
      </c>
      <c r="E19" s="1027">
        <f>E18/E16</f>
        <v>0.7915541215835556</v>
      </c>
      <c r="F19" s="1027">
        <f t="shared" si="1"/>
        <v>0.6879227053140097</v>
      </c>
      <c r="G19" s="1027">
        <f t="shared" si="1"/>
        <v>0.6986175115207374</v>
      </c>
      <c r="H19" s="1027">
        <f t="shared" si="1"/>
        <v>0.720704845814978</v>
      </c>
      <c r="I19" s="1027">
        <f t="shared" si="1"/>
        <v>0.7375</v>
      </c>
      <c r="J19" s="1027">
        <f t="shared" si="1"/>
        <v>0.7221134584423682</v>
      </c>
    </row>
    <row r="20" spans="1:10" s="717" customFormat="1" ht="36.75" customHeight="1">
      <c r="A20" s="1006">
        <v>2</v>
      </c>
      <c r="B20" s="1010" t="s">
        <v>586</v>
      </c>
      <c r="C20" s="1006" t="s">
        <v>368</v>
      </c>
      <c r="D20" s="1039">
        <v>7618.152597303</v>
      </c>
      <c r="E20" s="1033">
        <v>1141.065</v>
      </c>
      <c r="F20" s="1033">
        <v>2136</v>
      </c>
      <c r="G20" s="1033">
        <v>2388</v>
      </c>
      <c r="H20" s="1033">
        <v>2544</v>
      </c>
      <c r="I20" s="1033">
        <v>2647</v>
      </c>
      <c r="J20" s="1012">
        <f>SUM(E20:I20)</f>
        <v>10856.065</v>
      </c>
    </row>
    <row r="21" spans="1:10" s="717" customFormat="1" ht="36.75" customHeight="1">
      <c r="A21" s="1006"/>
      <c r="B21" s="1004" t="s">
        <v>587</v>
      </c>
      <c r="C21" s="1013" t="s">
        <v>5</v>
      </c>
      <c r="D21" s="1027">
        <f aca="true" t="shared" si="2" ref="D21:J21">D20/D16</f>
        <v>0.20083988670760627</v>
      </c>
      <c r="E21" s="1027">
        <f t="shared" si="2"/>
        <v>0.1800192819485654</v>
      </c>
      <c r="F21" s="1027">
        <f t="shared" si="2"/>
        <v>0.2063768115942029</v>
      </c>
      <c r="G21" s="1027">
        <f t="shared" si="2"/>
        <v>0.22009216589861752</v>
      </c>
      <c r="H21" s="1027">
        <f t="shared" si="2"/>
        <v>0.22414096916299558</v>
      </c>
      <c r="I21" s="1027">
        <f t="shared" si="2"/>
        <v>0.22058333333333333</v>
      </c>
      <c r="J21" s="1027">
        <f t="shared" si="2"/>
        <v>0.21333012082418273</v>
      </c>
    </row>
    <row r="22" spans="1:10" s="717" customFormat="1" ht="36.75" customHeight="1">
      <c r="A22" s="1006">
        <v>3</v>
      </c>
      <c r="B22" s="1026" t="s">
        <v>588</v>
      </c>
      <c r="C22" s="1006" t="s">
        <v>368</v>
      </c>
      <c r="D22" s="1032">
        <v>265.356533485</v>
      </c>
      <c r="E22" s="1162">
        <v>84.594</v>
      </c>
      <c r="F22" s="1162">
        <v>94.491</v>
      </c>
      <c r="G22" s="1162">
        <v>88.491</v>
      </c>
      <c r="H22" s="1162">
        <v>68.491</v>
      </c>
      <c r="I22" s="1162">
        <v>34.491</v>
      </c>
      <c r="J22" s="1012">
        <f>SUM(E22:I22)</f>
        <v>370.55799999999994</v>
      </c>
    </row>
    <row r="23" spans="1:10" s="717" customFormat="1" ht="36.75" customHeight="1">
      <c r="A23" s="1013"/>
      <c r="B23" s="1004" t="s">
        <v>589</v>
      </c>
      <c r="C23" s="1013" t="s">
        <v>5</v>
      </c>
      <c r="D23" s="1027">
        <f aca="true" t="shared" si="3" ref="D23:J23">D22/D16</f>
        <v>0.006995682410079037</v>
      </c>
      <c r="E23" s="1027">
        <f t="shared" si="3"/>
        <v>0.013345910300602453</v>
      </c>
      <c r="F23" s="1027">
        <f t="shared" si="3"/>
        <v>0.009129565217391304</v>
      </c>
      <c r="G23" s="1027">
        <f t="shared" si="3"/>
        <v>0.008155852534562212</v>
      </c>
      <c r="H23" s="1027">
        <f t="shared" si="3"/>
        <v>0.006034449339207049</v>
      </c>
      <c r="I23" s="1027">
        <f t="shared" si="3"/>
        <v>0.00287425</v>
      </c>
      <c r="J23" s="1027">
        <f t="shared" si="3"/>
        <v>0.007281752910687942</v>
      </c>
    </row>
    <row r="24" spans="1:11" s="945" customFormat="1" ht="42.75" customHeight="1">
      <c r="A24" s="1028">
        <v>4</v>
      </c>
      <c r="B24" s="1029" t="s">
        <v>720</v>
      </c>
      <c r="C24" s="1030"/>
      <c r="D24" s="1031">
        <v>6083.712495027</v>
      </c>
      <c r="E24" s="1031">
        <f aca="true" t="shared" si="4" ref="E24:J24">E16-E18-E20-E22</f>
        <v>95.58999999999975</v>
      </c>
      <c r="F24" s="1031">
        <f t="shared" si="4"/>
        <v>999.509</v>
      </c>
      <c r="G24" s="1031">
        <f t="shared" si="4"/>
        <v>793.509</v>
      </c>
      <c r="H24" s="1031">
        <f t="shared" si="4"/>
        <v>557.509</v>
      </c>
      <c r="I24" s="1031">
        <f t="shared" si="4"/>
        <v>468.509</v>
      </c>
      <c r="J24" s="1031">
        <f t="shared" si="4"/>
        <v>2914.6259999999957</v>
      </c>
      <c r="K24" s="717"/>
    </row>
    <row r="25" spans="1:11" ht="16.5">
      <c r="A25" s="706"/>
      <c r="B25" s="1226"/>
      <c r="C25" s="1226"/>
      <c r="D25" s="1226"/>
      <c r="E25" s="709"/>
      <c r="F25" s="709"/>
      <c r="G25" s="709"/>
      <c r="H25" s="709"/>
      <c r="I25" s="709"/>
      <c r="J25" s="709"/>
      <c r="K25" s="717"/>
    </row>
    <row r="26" spans="1:11" ht="33">
      <c r="A26" s="706"/>
      <c r="B26" s="1186" t="s">
        <v>738</v>
      </c>
      <c r="C26" s="708"/>
      <c r="D26" s="1187"/>
      <c r="E26" s="709"/>
      <c r="F26" s="709"/>
      <c r="G26" s="709"/>
      <c r="H26" s="709"/>
      <c r="I26" s="709"/>
      <c r="J26" s="709"/>
      <c r="K26" s="717"/>
    </row>
    <row r="27" spans="1:10" ht="16.5">
      <c r="A27" s="706"/>
      <c r="B27" s="707"/>
      <c r="C27" s="708"/>
      <c r="D27" s="706"/>
      <c r="E27" s="709"/>
      <c r="F27" s="709"/>
      <c r="G27" s="709"/>
      <c r="H27" s="709"/>
      <c r="I27" s="709"/>
      <c r="J27" s="709"/>
    </row>
    <row r="28" spans="1:10" ht="16.5">
      <c r="A28" s="706"/>
      <c r="B28" s="707"/>
      <c r="C28" s="708"/>
      <c r="D28" s="706"/>
      <c r="E28" s="709"/>
      <c r="F28" s="709"/>
      <c r="G28" s="709"/>
      <c r="H28" s="709"/>
      <c r="I28" s="709"/>
      <c r="J28" s="709"/>
    </row>
    <row r="29" spans="1:10" ht="16.5">
      <c r="A29" s="706"/>
      <c r="B29" s="707"/>
      <c r="C29" s="708"/>
      <c r="D29" s="706"/>
      <c r="E29" s="709"/>
      <c r="F29" s="709"/>
      <c r="G29" s="709"/>
      <c r="H29" s="709"/>
      <c r="I29" s="709"/>
      <c r="J29" s="709"/>
    </row>
    <row r="30" spans="1:10" ht="16.5">
      <c r="A30" s="706"/>
      <c r="B30" s="707"/>
      <c r="C30" s="708"/>
      <c r="D30" s="706"/>
      <c r="E30" s="709"/>
      <c r="F30" s="709"/>
      <c r="G30" s="709"/>
      <c r="H30" s="709"/>
      <c r="I30" s="709"/>
      <c r="J30" s="709"/>
    </row>
    <row r="31" spans="1:10" ht="16.5">
      <c r="A31" s="706"/>
      <c r="B31" s="707"/>
      <c r="C31" s="708"/>
      <c r="D31" s="706"/>
      <c r="E31" s="709"/>
      <c r="F31" s="709"/>
      <c r="G31" s="709"/>
      <c r="H31" s="709"/>
      <c r="I31" s="709"/>
      <c r="J31" s="709"/>
    </row>
    <row r="32" spans="1:10" ht="16.5">
      <c r="A32" s="706"/>
      <c r="B32" s="707"/>
      <c r="C32" s="708"/>
      <c r="D32" s="706"/>
      <c r="E32" s="709"/>
      <c r="F32" s="709"/>
      <c r="G32" s="709"/>
      <c r="H32" s="709"/>
      <c r="I32" s="709"/>
      <c r="J32" s="709"/>
    </row>
    <row r="33" spans="1:10" ht="16.5">
      <c r="A33" s="706"/>
      <c r="B33" s="707"/>
      <c r="C33" s="708"/>
      <c r="D33" s="706"/>
      <c r="E33" s="709"/>
      <c r="F33" s="709"/>
      <c r="G33" s="709"/>
      <c r="H33" s="709"/>
      <c r="I33" s="709"/>
      <c r="J33" s="709"/>
    </row>
    <row r="34" spans="1:10" ht="16.5">
      <c r="A34" s="706"/>
      <c r="B34" s="707"/>
      <c r="C34" s="708"/>
      <c r="D34" s="706"/>
      <c r="E34" s="709"/>
      <c r="F34" s="709"/>
      <c r="G34" s="709"/>
      <c r="H34" s="709"/>
      <c r="I34" s="709"/>
      <c r="J34" s="709"/>
    </row>
    <row r="35" spans="1:10" ht="16.5">
      <c r="A35" s="706"/>
      <c r="B35" s="707"/>
      <c r="C35" s="708"/>
      <c r="D35" s="706"/>
      <c r="E35" s="709"/>
      <c r="F35" s="709"/>
      <c r="G35" s="709"/>
      <c r="H35" s="709"/>
      <c r="I35" s="709"/>
      <c r="J35" s="709"/>
    </row>
    <row r="36" spans="1:10" ht="16.5">
      <c r="A36" s="706"/>
      <c r="B36" s="707"/>
      <c r="C36" s="708"/>
      <c r="D36" s="706"/>
      <c r="E36" s="709"/>
      <c r="F36" s="709"/>
      <c r="G36" s="709"/>
      <c r="H36" s="709"/>
      <c r="I36" s="709"/>
      <c r="J36" s="709"/>
    </row>
    <row r="37" spans="1:10" ht="16.5">
      <c r="A37" s="706"/>
      <c r="B37" s="707"/>
      <c r="C37" s="708"/>
      <c r="D37" s="706"/>
      <c r="E37" s="709"/>
      <c r="F37" s="709"/>
      <c r="G37" s="709"/>
      <c r="H37" s="709"/>
      <c r="I37" s="709"/>
      <c r="J37" s="709"/>
    </row>
    <row r="38" spans="1:10" ht="16.5">
      <c r="A38" s="706"/>
      <c r="B38" s="707"/>
      <c r="C38" s="708"/>
      <c r="D38" s="706"/>
      <c r="E38" s="709"/>
      <c r="F38" s="709"/>
      <c r="G38" s="709"/>
      <c r="H38" s="709"/>
      <c r="I38" s="709"/>
      <c r="J38" s="709"/>
    </row>
    <row r="39" spans="1:10" ht="16.5">
      <c r="A39" s="706"/>
      <c r="B39" s="707"/>
      <c r="C39" s="708"/>
      <c r="D39" s="706"/>
      <c r="E39" s="709"/>
      <c r="F39" s="709"/>
      <c r="G39" s="709"/>
      <c r="H39" s="709"/>
      <c r="I39" s="709"/>
      <c r="J39" s="709"/>
    </row>
    <row r="40" spans="1:10" ht="16.5">
      <c r="A40" s="706"/>
      <c r="B40" s="707"/>
      <c r="C40" s="708"/>
      <c r="D40" s="706"/>
      <c r="E40" s="709"/>
      <c r="F40" s="709"/>
      <c r="G40" s="709"/>
      <c r="H40" s="709"/>
      <c r="I40" s="709"/>
      <c r="J40" s="709"/>
    </row>
    <row r="41" spans="1:10" ht="16.5">
      <c r="A41" s="706"/>
      <c r="B41" s="707"/>
      <c r="C41" s="708"/>
      <c r="D41" s="706"/>
      <c r="E41" s="709"/>
      <c r="F41" s="709"/>
      <c r="G41" s="709"/>
      <c r="H41" s="709"/>
      <c r="I41" s="709"/>
      <c r="J41" s="709"/>
    </row>
    <row r="42" spans="1:10" ht="16.5">
      <c r="A42" s="706"/>
      <c r="B42" s="707"/>
      <c r="C42" s="708"/>
      <c r="D42" s="706"/>
      <c r="E42" s="709"/>
      <c r="F42" s="709"/>
      <c r="G42" s="709"/>
      <c r="H42" s="709"/>
      <c r="I42" s="709"/>
      <c r="J42" s="709"/>
    </row>
    <row r="43" spans="1:10" ht="16.5">
      <c r="A43" s="706"/>
      <c r="B43" s="707"/>
      <c r="C43" s="708"/>
      <c r="D43" s="706"/>
      <c r="E43" s="709"/>
      <c r="F43" s="709"/>
      <c r="G43" s="709"/>
      <c r="H43" s="709"/>
      <c r="I43" s="709"/>
      <c r="J43" s="709"/>
    </row>
    <row r="44" spans="1:10" ht="16.5">
      <c r="A44" s="706"/>
      <c r="B44" s="707"/>
      <c r="C44" s="708"/>
      <c r="D44" s="706"/>
      <c r="E44" s="709"/>
      <c r="F44" s="709"/>
      <c r="G44" s="709"/>
      <c r="H44" s="709"/>
      <c r="I44" s="709"/>
      <c r="J44" s="709"/>
    </row>
    <row r="45" spans="1:10" ht="16.5">
      <c r="A45" s="706"/>
      <c r="B45" s="707"/>
      <c r="C45" s="708"/>
      <c r="D45" s="706"/>
      <c r="E45" s="709"/>
      <c r="F45" s="709"/>
      <c r="G45" s="709"/>
      <c r="H45" s="709"/>
      <c r="I45" s="709"/>
      <c r="J45" s="709"/>
    </row>
    <row r="46" spans="1:10" ht="16.5">
      <c r="A46" s="706"/>
      <c r="B46" s="707"/>
      <c r="C46" s="708"/>
      <c r="D46" s="706"/>
      <c r="E46" s="709"/>
      <c r="F46" s="709"/>
      <c r="G46" s="709"/>
      <c r="H46" s="709"/>
      <c r="I46" s="709"/>
      <c r="J46" s="709"/>
    </row>
    <row r="47" spans="1:10" ht="16.5">
      <c r="A47" s="706"/>
      <c r="B47" s="707"/>
      <c r="C47" s="708"/>
      <c r="D47" s="706"/>
      <c r="E47" s="709"/>
      <c r="F47" s="709"/>
      <c r="G47" s="709"/>
      <c r="H47" s="709"/>
      <c r="I47" s="709"/>
      <c r="J47" s="709"/>
    </row>
    <row r="48" spans="1:10" ht="16.5">
      <c r="A48" s="706"/>
      <c r="B48" s="707"/>
      <c r="C48" s="708"/>
      <c r="D48" s="706"/>
      <c r="E48" s="709"/>
      <c r="F48" s="709"/>
      <c r="G48" s="709"/>
      <c r="H48" s="709"/>
      <c r="I48" s="709"/>
      <c r="J48" s="709"/>
    </row>
    <row r="49" spans="1:10" ht="16.5">
      <c r="A49" s="706"/>
      <c r="B49" s="707"/>
      <c r="C49" s="708"/>
      <c r="D49" s="706"/>
      <c r="E49" s="709"/>
      <c r="F49" s="709"/>
      <c r="G49" s="709"/>
      <c r="H49" s="709"/>
      <c r="I49" s="709"/>
      <c r="J49" s="709"/>
    </row>
    <row r="50" spans="1:10" ht="16.5">
      <c r="A50" s="706"/>
      <c r="B50" s="707"/>
      <c r="C50" s="708"/>
      <c r="D50" s="706"/>
      <c r="E50" s="709"/>
      <c r="F50" s="709"/>
      <c r="G50" s="709"/>
      <c r="H50" s="709"/>
      <c r="I50" s="709"/>
      <c r="J50" s="709"/>
    </row>
    <row r="51" spans="1:10" ht="16.5">
      <c r="A51" s="706"/>
      <c r="B51" s="707"/>
      <c r="C51" s="708"/>
      <c r="D51" s="706"/>
      <c r="E51" s="709"/>
      <c r="F51" s="709"/>
      <c r="G51" s="709"/>
      <c r="H51" s="709"/>
      <c r="I51" s="709"/>
      <c r="J51" s="709"/>
    </row>
    <row r="52" spans="1:10" ht="16.5">
      <c r="A52" s="706"/>
      <c r="B52" s="707"/>
      <c r="C52" s="708"/>
      <c r="D52" s="706"/>
      <c r="E52" s="709"/>
      <c r="F52" s="709"/>
      <c r="G52" s="709"/>
      <c r="H52" s="709"/>
      <c r="I52" s="709"/>
      <c r="J52" s="709"/>
    </row>
    <row r="53" spans="1:10" ht="16.5">
      <c r="A53" s="706"/>
      <c r="B53" s="707"/>
      <c r="C53" s="708"/>
      <c r="D53" s="706"/>
      <c r="E53" s="709"/>
      <c r="F53" s="709"/>
      <c r="G53" s="709"/>
      <c r="H53" s="709"/>
      <c r="I53" s="709"/>
      <c r="J53" s="709"/>
    </row>
    <row r="54" spans="1:10" ht="16.5">
      <c r="A54" s="706"/>
      <c r="B54" s="707"/>
      <c r="C54" s="708"/>
      <c r="D54" s="706"/>
      <c r="E54" s="709"/>
      <c r="F54" s="709"/>
      <c r="G54" s="709"/>
      <c r="H54" s="709"/>
      <c r="I54" s="709"/>
      <c r="J54" s="709"/>
    </row>
    <row r="55" spans="1:10" ht="16.5">
      <c r="A55" s="706"/>
      <c r="B55" s="707"/>
      <c r="C55" s="708"/>
      <c r="D55" s="706"/>
      <c r="E55" s="709"/>
      <c r="F55" s="709"/>
      <c r="G55" s="709"/>
      <c r="H55" s="709"/>
      <c r="I55" s="709"/>
      <c r="J55" s="709"/>
    </row>
    <row r="56" spans="1:10" ht="12.75" customHeight="1">
      <c r="A56" s="1188"/>
      <c r="B56" s="1189"/>
      <c r="C56" s="1190"/>
      <c r="D56" s="1188"/>
      <c r="E56" s="1191"/>
      <c r="F56" s="1191"/>
      <c r="G56" s="1191"/>
      <c r="H56" s="1191"/>
      <c r="I56" s="1191"/>
      <c r="J56" s="1191"/>
    </row>
    <row r="57" spans="1:10" s="714" customFormat="1" ht="63.75" customHeight="1">
      <c r="A57" s="719"/>
      <c r="B57" s="720" t="s">
        <v>590</v>
      </c>
      <c r="C57" s="721"/>
      <c r="D57" s="719"/>
      <c r="E57" s="722"/>
      <c r="F57" s="722"/>
      <c r="G57" s="722"/>
      <c r="H57" s="723" t="e">
        <f>+H56/#REF!*100</f>
        <v>#REF!</v>
      </c>
      <c r="I57" s="723" t="e">
        <f>+I56/#REF!*100</f>
        <v>#REF!</v>
      </c>
      <c r="J57" s="723"/>
    </row>
    <row r="58" spans="1:10" s="724" customFormat="1" ht="38.25" customHeight="1">
      <c r="A58" s="706"/>
      <c r="B58" s="707"/>
      <c r="C58" s="708"/>
      <c r="D58" s="706"/>
      <c r="E58" s="709"/>
      <c r="F58" s="709"/>
      <c r="G58" s="709"/>
      <c r="H58" s="709"/>
      <c r="I58" s="709"/>
      <c r="J58" s="709"/>
    </row>
    <row r="59" spans="1:10" s="724" customFormat="1" ht="38.25" customHeight="1">
      <c r="A59" s="706"/>
      <c r="B59" s="707"/>
      <c r="C59" s="708"/>
      <c r="D59" s="706"/>
      <c r="E59" s="709"/>
      <c r="F59" s="709"/>
      <c r="G59" s="709"/>
      <c r="H59" s="709"/>
      <c r="I59" s="709"/>
      <c r="J59" s="709"/>
    </row>
    <row r="60" spans="1:10" s="724" customFormat="1" ht="38.25" customHeight="1">
      <c r="A60" s="706"/>
      <c r="B60" s="707"/>
      <c r="C60" s="708"/>
      <c r="D60" s="706"/>
      <c r="E60" s="709"/>
      <c r="F60" s="709"/>
      <c r="G60" s="709"/>
      <c r="H60" s="709"/>
      <c r="I60" s="709"/>
      <c r="J60" s="709"/>
    </row>
    <row r="61" spans="1:10" s="724" customFormat="1" ht="38.25" customHeight="1">
      <c r="A61" s="706"/>
      <c r="B61" s="707"/>
      <c r="C61" s="708"/>
      <c r="D61" s="706"/>
      <c r="E61" s="709"/>
      <c r="F61" s="709"/>
      <c r="G61" s="709"/>
      <c r="H61" s="709"/>
      <c r="I61" s="709"/>
      <c r="J61" s="709"/>
    </row>
    <row r="62" spans="1:10" ht="38.25" customHeight="1">
      <c r="A62" s="706"/>
      <c r="B62" s="707"/>
      <c r="C62" s="708"/>
      <c r="D62" s="706"/>
      <c r="E62" s="709"/>
      <c r="F62" s="709"/>
      <c r="G62" s="709"/>
      <c r="H62" s="709"/>
      <c r="I62" s="709"/>
      <c r="J62" s="709"/>
    </row>
    <row r="63" spans="1:10" ht="38.25" customHeight="1">
      <c r="A63" s="706"/>
      <c r="B63" s="707"/>
      <c r="C63" s="708"/>
      <c r="D63" s="706"/>
      <c r="E63" s="709"/>
      <c r="F63" s="709"/>
      <c r="G63" s="709"/>
      <c r="H63" s="709"/>
      <c r="I63" s="709"/>
      <c r="J63" s="709"/>
    </row>
    <row r="64" spans="1:10" ht="16.5">
      <c r="A64" s="706"/>
      <c r="B64" s="707"/>
      <c r="C64" s="708"/>
      <c r="D64" s="706"/>
      <c r="E64" s="709"/>
      <c r="F64" s="709"/>
      <c r="G64" s="709"/>
      <c r="H64" s="709"/>
      <c r="I64" s="709"/>
      <c r="J64" s="709"/>
    </row>
    <row r="65" spans="1:10" ht="16.5">
      <c r="A65" s="706"/>
      <c r="B65" s="707"/>
      <c r="C65" s="708"/>
      <c r="D65" s="706"/>
      <c r="E65" s="709"/>
      <c r="F65" s="709"/>
      <c r="G65" s="709"/>
      <c r="H65" s="709"/>
      <c r="I65" s="709"/>
      <c r="J65" s="709"/>
    </row>
    <row r="66" spans="1:10" ht="16.5">
      <c r="A66" s="706"/>
      <c r="B66" s="707"/>
      <c r="C66" s="708"/>
      <c r="D66" s="706"/>
      <c r="E66" s="709"/>
      <c r="F66" s="709"/>
      <c r="G66" s="709"/>
      <c r="H66" s="709"/>
      <c r="I66" s="709"/>
      <c r="J66" s="709"/>
    </row>
    <row r="67" spans="1:10" ht="16.5">
      <c r="A67" s="706"/>
      <c r="B67" s="707"/>
      <c r="C67" s="708"/>
      <c r="D67" s="706"/>
      <c r="E67" s="709"/>
      <c r="F67" s="709"/>
      <c r="G67" s="709"/>
      <c r="H67" s="709"/>
      <c r="I67" s="709"/>
      <c r="J67" s="709"/>
    </row>
    <row r="68" spans="1:10" ht="16.5">
      <c r="A68" s="706"/>
      <c r="B68" s="707"/>
      <c r="C68" s="708"/>
      <c r="D68" s="706"/>
      <c r="E68" s="709"/>
      <c r="F68" s="709"/>
      <c r="G68" s="709"/>
      <c r="H68" s="709"/>
      <c r="I68" s="709"/>
      <c r="J68" s="709"/>
    </row>
    <row r="69" spans="1:10" ht="16.5">
      <c r="A69" s="706"/>
      <c r="B69" s="707"/>
      <c r="C69" s="708"/>
      <c r="D69" s="706"/>
      <c r="E69" s="709"/>
      <c r="F69" s="709"/>
      <c r="G69" s="709"/>
      <c r="H69" s="709"/>
      <c r="I69" s="709"/>
      <c r="J69" s="709"/>
    </row>
    <row r="70" spans="1:10" ht="16.5">
      <c r="A70" s="706"/>
      <c r="B70" s="707"/>
      <c r="C70" s="708"/>
      <c r="D70" s="706"/>
      <c r="E70" s="709"/>
      <c r="F70" s="709"/>
      <c r="G70" s="709"/>
      <c r="H70" s="709"/>
      <c r="I70" s="709"/>
      <c r="J70" s="709"/>
    </row>
    <row r="71" spans="1:10" ht="16.5">
      <c r="A71" s="706"/>
      <c r="B71" s="707"/>
      <c r="C71" s="708"/>
      <c r="D71" s="706"/>
      <c r="E71" s="709"/>
      <c r="F71" s="709"/>
      <c r="G71" s="709"/>
      <c r="H71" s="709"/>
      <c r="I71" s="709"/>
      <c r="J71" s="709"/>
    </row>
    <row r="72" spans="1:10" ht="16.5">
      <c r="A72" s="706"/>
      <c r="B72" s="707"/>
      <c r="C72" s="708"/>
      <c r="D72" s="706"/>
      <c r="E72" s="709"/>
      <c r="F72" s="709"/>
      <c r="G72" s="709"/>
      <c r="H72" s="709"/>
      <c r="I72" s="709"/>
      <c r="J72" s="709"/>
    </row>
    <row r="73" spans="1:10" ht="16.5">
      <c r="A73" s="706"/>
      <c r="B73" s="707"/>
      <c r="C73" s="708"/>
      <c r="D73" s="706"/>
      <c r="E73" s="709"/>
      <c r="F73" s="709"/>
      <c r="G73" s="709"/>
      <c r="H73" s="709"/>
      <c r="I73" s="709"/>
      <c r="J73" s="709"/>
    </row>
    <row r="74" spans="1:10" ht="16.5">
      <c r="A74" s="706"/>
      <c r="B74" s="707"/>
      <c r="C74" s="708"/>
      <c r="D74" s="706"/>
      <c r="E74" s="709"/>
      <c r="F74" s="709"/>
      <c r="G74" s="709"/>
      <c r="H74" s="709"/>
      <c r="I74" s="709"/>
      <c r="J74" s="709"/>
    </row>
    <row r="75" spans="1:10" ht="16.5">
      <c r="A75" s="706"/>
      <c r="B75" s="707"/>
      <c r="C75" s="708"/>
      <c r="D75" s="706"/>
      <c r="E75" s="709"/>
      <c r="F75" s="709"/>
      <c r="G75" s="709"/>
      <c r="H75" s="709"/>
      <c r="I75" s="709"/>
      <c r="J75" s="709"/>
    </row>
    <row r="76" spans="1:10" ht="16.5">
      <c r="A76" s="706"/>
      <c r="B76" s="707"/>
      <c r="C76" s="708"/>
      <c r="D76" s="706"/>
      <c r="E76" s="709"/>
      <c r="F76" s="709"/>
      <c r="G76" s="709"/>
      <c r="H76" s="709"/>
      <c r="I76" s="709"/>
      <c r="J76" s="709"/>
    </row>
    <row r="77" spans="1:10" ht="16.5">
      <c r="A77" s="706"/>
      <c r="B77" s="707"/>
      <c r="C77" s="708"/>
      <c r="D77" s="706"/>
      <c r="E77" s="709"/>
      <c r="F77" s="709"/>
      <c r="G77" s="709"/>
      <c r="H77" s="709"/>
      <c r="I77" s="709"/>
      <c r="J77" s="709"/>
    </row>
    <row r="78" spans="1:10" ht="16.5">
      <c r="A78" s="706"/>
      <c r="B78" s="707"/>
      <c r="C78" s="708"/>
      <c r="D78" s="706"/>
      <c r="E78" s="709"/>
      <c r="F78" s="709"/>
      <c r="G78" s="709"/>
      <c r="H78" s="709"/>
      <c r="I78" s="709"/>
      <c r="J78" s="709"/>
    </row>
    <row r="79" spans="1:10" ht="16.5">
      <c r="A79" s="706"/>
      <c r="B79" s="707"/>
      <c r="C79" s="708"/>
      <c r="D79" s="706"/>
      <c r="E79" s="709"/>
      <c r="F79" s="709"/>
      <c r="G79" s="709"/>
      <c r="H79" s="709"/>
      <c r="I79" s="709"/>
      <c r="J79" s="709"/>
    </row>
    <row r="80" spans="1:10" ht="16.5">
      <c r="A80" s="706"/>
      <c r="B80" s="707"/>
      <c r="C80" s="708"/>
      <c r="D80" s="706"/>
      <c r="E80" s="709"/>
      <c r="F80" s="709"/>
      <c r="G80" s="709"/>
      <c r="H80" s="709"/>
      <c r="I80" s="709"/>
      <c r="J80" s="709"/>
    </row>
    <row r="81" spans="1:10" ht="16.5">
      <c r="A81" s="706"/>
      <c r="B81" s="707"/>
      <c r="C81" s="708"/>
      <c r="D81" s="706"/>
      <c r="E81" s="709"/>
      <c r="F81" s="709"/>
      <c r="G81" s="709"/>
      <c r="H81" s="709"/>
      <c r="I81" s="709"/>
      <c r="J81" s="709"/>
    </row>
    <row r="82" spans="1:10" ht="16.5">
      <c r="A82" s="706"/>
      <c r="B82" s="707"/>
      <c r="C82" s="708"/>
      <c r="D82" s="706"/>
      <c r="E82" s="709"/>
      <c r="F82" s="709"/>
      <c r="G82" s="709"/>
      <c r="H82" s="709"/>
      <c r="I82" s="709"/>
      <c r="J82" s="709"/>
    </row>
    <row r="83" spans="1:10" ht="16.5">
      <c r="A83" s="706"/>
      <c r="B83" s="707"/>
      <c r="C83" s="708"/>
      <c r="D83" s="706"/>
      <c r="E83" s="709"/>
      <c r="F83" s="709"/>
      <c r="G83" s="709"/>
      <c r="H83" s="709"/>
      <c r="I83" s="709"/>
      <c r="J83" s="709"/>
    </row>
    <row r="84" spans="1:10" ht="16.5">
      <c r="A84" s="706"/>
      <c r="B84" s="707"/>
      <c r="C84" s="708"/>
      <c r="D84" s="706"/>
      <c r="E84" s="709"/>
      <c r="F84" s="709"/>
      <c r="G84" s="709"/>
      <c r="H84" s="709"/>
      <c r="I84" s="709"/>
      <c r="J84" s="709"/>
    </row>
    <row r="85" spans="1:10" ht="16.5">
      <c r="A85" s="706"/>
      <c r="B85" s="707"/>
      <c r="C85" s="708"/>
      <c r="D85" s="706"/>
      <c r="E85" s="709"/>
      <c r="F85" s="709"/>
      <c r="G85" s="709"/>
      <c r="H85" s="709"/>
      <c r="I85" s="709"/>
      <c r="J85" s="709"/>
    </row>
    <row r="86" spans="1:10" ht="16.5">
      <c r="A86" s="706"/>
      <c r="B86" s="707"/>
      <c r="C86" s="708"/>
      <c r="D86" s="706"/>
      <c r="E86" s="709"/>
      <c r="F86" s="709"/>
      <c r="G86" s="709"/>
      <c r="H86" s="709"/>
      <c r="I86" s="709"/>
      <c r="J86" s="709"/>
    </row>
    <row r="87" spans="1:10" ht="16.5">
      <c r="A87" s="706"/>
      <c r="B87" s="707"/>
      <c r="C87" s="708"/>
      <c r="D87" s="706"/>
      <c r="E87" s="709"/>
      <c r="F87" s="709"/>
      <c r="G87" s="709"/>
      <c r="H87" s="709"/>
      <c r="I87" s="709"/>
      <c r="J87" s="709"/>
    </row>
    <row r="88" spans="1:10" ht="16.5">
      <c r="A88" s="706"/>
      <c r="B88" s="707"/>
      <c r="C88" s="708"/>
      <c r="D88" s="706"/>
      <c r="E88" s="709"/>
      <c r="F88" s="709"/>
      <c r="G88" s="709"/>
      <c r="H88" s="709"/>
      <c r="I88" s="709"/>
      <c r="J88" s="709"/>
    </row>
    <row r="89" spans="1:10" ht="16.5">
      <c r="A89" s="706"/>
      <c r="B89" s="707"/>
      <c r="C89" s="708"/>
      <c r="D89" s="706"/>
      <c r="E89" s="709"/>
      <c r="F89" s="709"/>
      <c r="G89" s="709"/>
      <c r="H89" s="709"/>
      <c r="I89" s="709"/>
      <c r="J89" s="709"/>
    </row>
    <row r="90" spans="1:10" ht="16.5">
      <c r="A90" s="706"/>
      <c r="B90" s="707"/>
      <c r="C90" s="708"/>
      <c r="D90" s="706"/>
      <c r="E90" s="709"/>
      <c r="F90" s="709"/>
      <c r="G90" s="709"/>
      <c r="H90" s="709"/>
      <c r="I90" s="709"/>
      <c r="J90" s="709"/>
    </row>
    <row r="91" spans="1:10" ht="16.5">
      <c r="A91" s="706"/>
      <c r="B91" s="707"/>
      <c r="C91" s="708"/>
      <c r="D91" s="706"/>
      <c r="E91" s="709"/>
      <c r="F91" s="709"/>
      <c r="G91" s="709"/>
      <c r="H91" s="709"/>
      <c r="I91" s="709"/>
      <c r="J91" s="709"/>
    </row>
    <row r="92" spans="1:10" ht="16.5">
      <c r="A92" s="706"/>
      <c r="B92" s="707"/>
      <c r="C92" s="708"/>
      <c r="D92" s="706"/>
      <c r="E92" s="709"/>
      <c r="F92" s="709"/>
      <c r="G92" s="709"/>
      <c r="H92" s="709"/>
      <c r="I92" s="709"/>
      <c r="J92" s="709"/>
    </row>
    <row r="93" spans="1:10" ht="16.5">
      <c r="A93" s="706"/>
      <c r="B93" s="707"/>
      <c r="C93" s="708"/>
      <c r="D93" s="706"/>
      <c r="E93" s="709"/>
      <c r="F93" s="709"/>
      <c r="G93" s="709"/>
      <c r="H93" s="709"/>
      <c r="I93" s="709"/>
      <c r="J93" s="709"/>
    </row>
    <row r="94" spans="1:10" ht="16.5">
      <c r="A94" s="706"/>
      <c r="B94" s="707"/>
      <c r="C94" s="708"/>
      <c r="D94" s="706"/>
      <c r="E94" s="709"/>
      <c r="F94" s="709"/>
      <c r="G94" s="709"/>
      <c r="H94" s="709"/>
      <c r="I94" s="709"/>
      <c r="J94" s="709"/>
    </row>
    <row r="95" spans="1:10" ht="16.5">
      <c r="A95" s="706"/>
      <c r="B95" s="707"/>
      <c r="C95" s="708"/>
      <c r="D95" s="706"/>
      <c r="E95" s="709"/>
      <c r="F95" s="709"/>
      <c r="G95" s="709"/>
      <c r="H95" s="709"/>
      <c r="I95" s="709"/>
      <c r="J95" s="709"/>
    </row>
    <row r="96" spans="1:10" ht="16.5">
      <c r="A96" s="706"/>
      <c r="B96" s="707"/>
      <c r="C96" s="708"/>
      <c r="D96" s="706"/>
      <c r="E96" s="709"/>
      <c r="F96" s="709"/>
      <c r="G96" s="709"/>
      <c r="H96" s="709"/>
      <c r="I96" s="709"/>
      <c r="J96" s="709"/>
    </row>
    <row r="97" spans="1:10" ht="16.5">
      <c r="A97" s="706"/>
      <c r="B97" s="707"/>
      <c r="C97" s="708"/>
      <c r="D97" s="706"/>
      <c r="E97" s="709"/>
      <c r="F97" s="709"/>
      <c r="G97" s="709"/>
      <c r="H97" s="709"/>
      <c r="I97" s="709"/>
      <c r="J97" s="709"/>
    </row>
    <row r="98" spans="1:10" ht="16.5">
      <c r="A98" s="706"/>
      <c r="B98" s="707"/>
      <c r="C98" s="708"/>
      <c r="D98" s="706"/>
      <c r="E98" s="709"/>
      <c r="F98" s="709"/>
      <c r="G98" s="709"/>
      <c r="H98" s="709"/>
      <c r="I98" s="709"/>
      <c r="J98" s="709"/>
    </row>
    <row r="99" spans="1:10" ht="16.5">
      <c r="A99" s="706"/>
      <c r="B99" s="707"/>
      <c r="C99" s="708"/>
      <c r="D99" s="706"/>
      <c r="E99" s="709"/>
      <c r="F99" s="709"/>
      <c r="G99" s="709"/>
      <c r="H99" s="709"/>
      <c r="I99" s="709"/>
      <c r="J99" s="709"/>
    </row>
    <row r="100" spans="1:10" ht="16.5">
      <c r="A100" s="706"/>
      <c r="B100" s="707"/>
      <c r="C100" s="708"/>
      <c r="D100" s="706"/>
      <c r="E100" s="709"/>
      <c r="F100" s="709"/>
      <c r="G100" s="709"/>
      <c r="H100" s="709"/>
      <c r="I100" s="709"/>
      <c r="J100" s="709"/>
    </row>
    <row r="101" spans="1:10" ht="16.5">
      <c r="A101" s="706"/>
      <c r="B101" s="707"/>
      <c r="C101" s="708"/>
      <c r="D101" s="706"/>
      <c r="E101" s="709"/>
      <c r="F101" s="709"/>
      <c r="G101" s="709"/>
      <c r="H101" s="709"/>
      <c r="I101" s="709"/>
      <c r="J101" s="709"/>
    </row>
    <row r="102" spans="1:10" ht="16.5">
      <c r="A102" s="706"/>
      <c r="B102" s="707"/>
      <c r="C102" s="708"/>
      <c r="D102" s="706"/>
      <c r="E102" s="709"/>
      <c r="F102" s="709"/>
      <c r="G102" s="709"/>
      <c r="H102" s="709"/>
      <c r="I102" s="709"/>
      <c r="J102" s="709"/>
    </row>
    <row r="103" spans="1:10" ht="16.5">
      <c r="A103" s="706"/>
      <c r="B103" s="707"/>
      <c r="C103" s="708"/>
      <c r="D103" s="706"/>
      <c r="E103" s="709"/>
      <c r="F103" s="709"/>
      <c r="G103" s="709"/>
      <c r="H103" s="709"/>
      <c r="I103" s="709"/>
      <c r="J103" s="709"/>
    </row>
    <row r="104" spans="1:10" ht="16.5">
      <c r="A104" s="706"/>
      <c r="B104" s="707"/>
      <c r="C104" s="708"/>
      <c r="D104" s="706"/>
      <c r="E104" s="709"/>
      <c r="F104" s="709"/>
      <c r="G104" s="709"/>
      <c r="H104" s="709"/>
      <c r="I104" s="709"/>
      <c r="J104" s="709"/>
    </row>
    <row r="105" spans="1:10" ht="16.5">
      <c r="A105" s="706"/>
      <c r="B105" s="707"/>
      <c r="C105" s="708"/>
      <c r="D105" s="706"/>
      <c r="E105" s="709"/>
      <c r="F105" s="709"/>
      <c r="G105" s="709"/>
      <c r="H105" s="709"/>
      <c r="I105" s="709"/>
      <c r="J105" s="709"/>
    </row>
    <row r="106" spans="1:10" ht="16.5">
      <c r="A106" s="706"/>
      <c r="B106" s="707"/>
      <c r="C106" s="708"/>
      <c r="D106" s="706"/>
      <c r="E106" s="709"/>
      <c r="F106" s="709"/>
      <c r="G106" s="709"/>
      <c r="H106" s="709"/>
      <c r="I106" s="709"/>
      <c r="J106" s="709"/>
    </row>
    <row r="107" spans="1:10" ht="16.5">
      <c r="A107" s="706"/>
      <c r="B107" s="707"/>
      <c r="C107" s="708"/>
      <c r="D107" s="706"/>
      <c r="E107" s="709"/>
      <c r="F107" s="709"/>
      <c r="G107" s="709"/>
      <c r="H107" s="709"/>
      <c r="I107" s="709"/>
      <c r="J107" s="709"/>
    </row>
    <row r="108" spans="1:10" ht="16.5">
      <c r="A108" s="706"/>
      <c r="B108" s="707"/>
      <c r="C108" s="708"/>
      <c r="D108" s="706"/>
      <c r="E108" s="709"/>
      <c r="F108" s="709"/>
      <c r="G108" s="709"/>
      <c r="H108" s="709"/>
      <c r="I108" s="709"/>
      <c r="J108" s="709"/>
    </row>
    <row r="109" spans="1:10" ht="16.5">
      <c r="A109" s="706"/>
      <c r="B109" s="707"/>
      <c r="C109" s="708"/>
      <c r="D109" s="706"/>
      <c r="E109" s="709"/>
      <c r="F109" s="709"/>
      <c r="G109" s="709"/>
      <c r="H109" s="709"/>
      <c r="I109" s="709"/>
      <c r="J109" s="709"/>
    </row>
    <row r="110" spans="1:10" ht="16.5">
      <c r="A110" s="706"/>
      <c r="B110" s="707"/>
      <c r="C110" s="708"/>
      <c r="D110" s="706"/>
      <c r="E110" s="709"/>
      <c r="F110" s="709"/>
      <c r="G110" s="709"/>
      <c r="H110" s="709"/>
      <c r="I110" s="709"/>
      <c r="J110" s="709"/>
    </row>
    <row r="111" spans="1:10" ht="16.5">
      <c r="A111" s="706"/>
      <c r="B111" s="707"/>
      <c r="C111" s="708"/>
      <c r="D111" s="706"/>
      <c r="E111" s="709"/>
      <c r="F111" s="709"/>
      <c r="G111" s="709"/>
      <c r="H111" s="709"/>
      <c r="I111" s="709"/>
      <c r="J111" s="709"/>
    </row>
    <row r="112" spans="1:10" ht="16.5">
      <c r="A112" s="706"/>
      <c r="B112" s="707"/>
      <c r="C112" s="708"/>
      <c r="D112" s="706"/>
      <c r="E112" s="709"/>
      <c r="F112" s="709"/>
      <c r="G112" s="709"/>
      <c r="H112" s="709"/>
      <c r="I112" s="709"/>
      <c r="J112" s="709"/>
    </row>
    <row r="113" spans="1:10" ht="16.5">
      <c r="A113" s="706"/>
      <c r="B113" s="707"/>
      <c r="C113" s="708"/>
      <c r="D113" s="706"/>
      <c r="E113" s="709"/>
      <c r="F113" s="709"/>
      <c r="G113" s="709"/>
      <c r="H113" s="709"/>
      <c r="I113" s="709"/>
      <c r="J113" s="709"/>
    </row>
    <row r="114" spans="1:10" ht="16.5">
      <c r="A114" s="706"/>
      <c r="B114" s="707"/>
      <c r="C114" s="708"/>
      <c r="D114" s="706"/>
      <c r="E114" s="709"/>
      <c r="F114" s="709"/>
      <c r="G114" s="709"/>
      <c r="H114" s="709"/>
      <c r="I114" s="709"/>
      <c r="J114" s="709"/>
    </row>
    <row r="115" spans="1:10" ht="16.5">
      <c r="A115" s="706"/>
      <c r="B115" s="707"/>
      <c r="C115" s="708"/>
      <c r="D115" s="706"/>
      <c r="E115" s="709"/>
      <c r="F115" s="709"/>
      <c r="G115" s="709"/>
      <c r="H115" s="709"/>
      <c r="I115" s="709"/>
      <c r="J115" s="709"/>
    </row>
    <row r="116" spans="1:10" ht="16.5">
      <c r="A116" s="706"/>
      <c r="B116" s="707"/>
      <c r="C116" s="708"/>
      <c r="D116" s="706"/>
      <c r="E116" s="709"/>
      <c r="F116" s="709"/>
      <c r="G116" s="709"/>
      <c r="H116" s="709"/>
      <c r="I116" s="709"/>
      <c r="J116" s="709"/>
    </row>
    <row r="117" spans="1:10" ht="16.5">
      <c r="A117" s="706"/>
      <c r="B117" s="707"/>
      <c r="C117" s="708"/>
      <c r="D117" s="706"/>
      <c r="E117" s="709"/>
      <c r="F117" s="709"/>
      <c r="G117" s="709"/>
      <c r="H117" s="709"/>
      <c r="I117" s="709"/>
      <c r="J117" s="709"/>
    </row>
    <row r="118" spans="1:10" ht="16.5">
      <c r="A118" s="706"/>
      <c r="B118" s="707"/>
      <c r="C118" s="708"/>
      <c r="D118" s="706"/>
      <c r="E118" s="709"/>
      <c r="F118" s="709"/>
      <c r="G118" s="709"/>
      <c r="H118" s="709"/>
      <c r="I118" s="709"/>
      <c r="J118" s="709"/>
    </row>
    <row r="119" spans="1:10" ht="16.5">
      <c r="A119" s="706"/>
      <c r="B119" s="707"/>
      <c r="C119" s="708"/>
      <c r="D119" s="706"/>
      <c r="E119" s="709"/>
      <c r="F119" s="709"/>
      <c r="G119" s="709"/>
      <c r="H119" s="709"/>
      <c r="I119" s="709"/>
      <c r="J119" s="709"/>
    </row>
    <row r="120" spans="1:10" ht="16.5">
      <c r="A120" s="706"/>
      <c r="B120" s="707"/>
      <c r="C120" s="708"/>
      <c r="D120" s="706"/>
      <c r="E120" s="709"/>
      <c r="F120" s="709"/>
      <c r="G120" s="709"/>
      <c r="H120" s="709"/>
      <c r="I120" s="709"/>
      <c r="J120" s="709"/>
    </row>
    <row r="121" spans="1:10" ht="16.5">
      <c r="A121" s="706"/>
      <c r="B121" s="707"/>
      <c r="C121" s="708"/>
      <c r="D121" s="706"/>
      <c r="E121" s="709"/>
      <c r="F121" s="709"/>
      <c r="G121" s="709"/>
      <c r="H121" s="709"/>
      <c r="I121" s="709"/>
      <c r="J121" s="709"/>
    </row>
    <row r="122" spans="1:10" ht="16.5">
      <c r="A122" s="706"/>
      <c r="B122" s="707"/>
      <c r="C122" s="708"/>
      <c r="D122" s="706"/>
      <c r="E122" s="709"/>
      <c r="F122" s="709"/>
      <c r="G122" s="709"/>
      <c r="H122" s="709"/>
      <c r="I122" s="709"/>
      <c r="J122" s="709"/>
    </row>
    <row r="123" spans="1:10" ht="16.5">
      <c r="A123" s="706"/>
      <c r="B123" s="707"/>
      <c r="C123" s="708"/>
      <c r="D123" s="706"/>
      <c r="E123" s="709"/>
      <c r="F123" s="709"/>
      <c r="G123" s="709"/>
      <c r="H123" s="709"/>
      <c r="I123" s="709"/>
      <c r="J123" s="709"/>
    </row>
    <row r="124" spans="1:10" ht="16.5">
      <c r="A124" s="706"/>
      <c r="B124" s="707"/>
      <c r="C124" s="708"/>
      <c r="D124" s="706"/>
      <c r="E124" s="709"/>
      <c r="F124" s="709"/>
      <c r="G124" s="709"/>
      <c r="H124" s="709"/>
      <c r="I124" s="709"/>
      <c r="J124" s="709"/>
    </row>
    <row r="125" spans="1:10" ht="16.5">
      <c r="A125" s="706"/>
      <c r="B125" s="707"/>
      <c r="C125" s="708"/>
      <c r="D125" s="706"/>
      <c r="E125" s="709"/>
      <c r="F125" s="709"/>
      <c r="G125" s="709"/>
      <c r="H125" s="709"/>
      <c r="I125" s="709"/>
      <c r="J125" s="709"/>
    </row>
    <row r="126" spans="1:10" ht="16.5">
      <c r="A126" s="706"/>
      <c r="B126" s="707"/>
      <c r="C126" s="708"/>
      <c r="D126" s="706"/>
      <c r="E126" s="709"/>
      <c r="F126" s="709"/>
      <c r="G126" s="709"/>
      <c r="H126" s="709"/>
      <c r="I126" s="709"/>
      <c r="J126" s="709"/>
    </row>
    <row r="127" spans="1:10" ht="16.5">
      <c r="A127" s="706"/>
      <c r="B127" s="707"/>
      <c r="C127" s="708"/>
      <c r="D127" s="706"/>
      <c r="E127" s="709"/>
      <c r="F127" s="709"/>
      <c r="G127" s="709"/>
      <c r="H127" s="709"/>
      <c r="I127" s="709"/>
      <c r="J127" s="709"/>
    </row>
    <row r="128" spans="1:10" ht="16.5">
      <c r="A128" s="706"/>
      <c r="B128" s="707"/>
      <c r="C128" s="708"/>
      <c r="D128" s="706"/>
      <c r="E128" s="709"/>
      <c r="F128" s="709"/>
      <c r="G128" s="709"/>
      <c r="H128" s="709"/>
      <c r="I128" s="709"/>
      <c r="J128" s="709"/>
    </row>
    <row r="129" spans="1:10" ht="16.5">
      <c r="A129" s="706"/>
      <c r="B129" s="707"/>
      <c r="C129" s="708"/>
      <c r="D129" s="706"/>
      <c r="E129" s="709"/>
      <c r="F129" s="709"/>
      <c r="G129" s="709"/>
      <c r="H129" s="709"/>
      <c r="I129" s="709"/>
      <c r="J129" s="709"/>
    </row>
    <row r="130" spans="1:10" ht="16.5">
      <c r="A130" s="706"/>
      <c r="B130" s="707"/>
      <c r="C130" s="708"/>
      <c r="D130" s="706"/>
      <c r="E130" s="709"/>
      <c r="F130" s="709"/>
      <c r="G130" s="709"/>
      <c r="H130" s="709"/>
      <c r="I130" s="709"/>
      <c r="J130" s="709"/>
    </row>
    <row r="131" spans="1:10" ht="16.5">
      <c r="A131" s="706"/>
      <c r="B131" s="707"/>
      <c r="C131" s="708"/>
      <c r="D131" s="706"/>
      <c r="E131" s="709"/>
      <c r="F131" s="709"/>
      <c r="G131" s="709"/>
      <c r="H131" s="709"/>
      <c r="I131" s="709"/>
      <c r="J131" s="709"/>
    </row>
    <row r="132" spans="1:10" ht="16.5">
      <c r="A132" s="706"/>
      <c r="B132" s="707"/>
      <c r="C132" s="708"/>
      <c r="D132" s="706"/>
      <c r="E132" s="709"/>
      <c r="F132" s="709"/>
      <c r="G132" s="709"/>
      <c r="H132" s="709"/>
      <c r="I132" s="709"/>
      <c r="J132" s="709"/>
    </row>
    <row r="133" spans="1:10" ht="16.5">
      <c r="A133" s="706"/>
      <c r="B133" s="707"/>
      <c r="C133" s="708"/>
      <c r="D133" s="706"/>
      <c r="E133" s="709"/>
      <c r="F133" s="709"/>
      <c r="G133" s="709"/>
      <c r="H133" s="709"/>
      <c r="I133" s="709"/>
      <c r="J133" s="709"/>
    </row>
    <row r="134" spans="1:10" ht="16.5">
      <c r="A134" s="706"/>
      <c r="B134" s="707"/>
      <c r="C134" s="708"/>
      <c r="D134" s="706"/>
      <c r="E134" s="709"/>
      <c r="F134" s="709"/>
      <c r="G134" s="709"/>
      <c r="H134" s="709"/>
      <c r="I134" s="709"/>
      <c r="J134" s="709"/>
    </row>
    <row r="135" spans="1:10" ht="16.5">
      <c r="A135" s="706"/>
      <c r="B135" s="707"/>
      <c r="C135" s="708"/>
      <c r="D135" s="706"/>
      <c r="E135" s="709"/>
      <c r="F135" s="709"/>
      <c r="G135" s="709"/>
      <c r="H135" s="709"/>
      <c r="I135" s="709"/>
      <c r="J135" s="709"/>
    </row>
    <row r="136" spans="1:10" ht="16.5">
      <c r="A136" s="706"/>
      <c r="B136" s="707"/>
      <c r="C136" s="708"/>
      <c r="D136" s="706"/>
      <c r="E136" s="709"/>
      <c r="F136" s="709"/>
      <c r="G136" s="709"/>
      <c r="H136" s="709"/>
      <c r="I136" s="709"/>
      <c r="J136" s="709"/>
    </row>
    <row r="137" spans="1:10" ht="16.5">
      <c r="A137" s="706"/>
      <c r="B137" s="707"/>
      <c r="C137" s="708"/>
      <c r="D137" s="706"/>
      <c r="E137" s="709"/>
      <c r="F137" s="709"/>
      <c r="G137" s="709"/>
      <c r="H137" s="709"/>
      <c r="I137" s="709"/>
      <c r="J137" s="709"/>
    </row>
    <row r="138" spans="1:10" ht="16.5">
      <c r="A138" s="706"/>
      <c r="B138" s="707"/>
      <c r="C138" s="708"/>
      <c r="D138" s="706"/>
      <c r="E138" s="709"/>
      <c r="F138" s="709"/>
      <c r="G138" s="709"/>
      <c r="H138" s="709"/>
      <c r="I138" s="709"/>
      <c r="J138" s="709"/>
    </row>
    <row r="139" spans="1:10" ht="16.5">
      <c r="A139" s="706"/>
      <c r="B139" s="707"/>
      <c r="C139" s="708"/>
      <c r="D139" s="706"/>
      <c r="E139" s="709"/>
      <c r="F139" s="709"/>
      <c r="G139" s="709"/>
      <c r="H139" s="709"/>
      <c r="I139" s="709"/>
      <c r="J139" s="709"/>
    </row>
    <row r="140" spans="1:10" ht="16.5">
      <c r="A140" s="706"/>
      <c r="B140" s="707"/>
      <c r="C140" s="708"/>
      <c r="D140" s="706"/>
      <c r="E140" s="709"/>
      <c r="F140" s="709"/>
      <c r="G140" s="709"/>
      <c r="H140" s="709"/>
      <c r="I140" s="709"/>
      <c r="J140" s="709"/>
    </row>
    <row r="141" spans="1:10" ht="16.5">
      <c r="A141" s="706"/>
      <c r="B141" s="707"/>
      <c r="C141" s="708"/>
      <c r="D141" s="706"/>
      <c r="E141" s="709"/>
      <c r="F141" s="709"/>
      <c r="G141" s="709"/>
      <c r="H141" s="709"/>
      <c r="I141" s="709"/>
      <c r="J141" s="709"/>
    </row>
    <row r="142" spans="1:10" ht="16.5">
      <c r="A142" s="706"/>
      <c r="B142" s="707"/>
      <c r="C142" s="708"/>
      <c r="D142" s="706"/>
      <c r="E142" s="709"/>
      <c r="F142" s="709"/>
      <c r="G142" s="709"/>
      <c r="H142" s="709"/>
      <c r="I142" s="709"/>
      <c r="J142" s="709"/>
    </row>
    <row r="143" spans="1:10" ht="16.5">
      <c r="A143" s="706"/>
      <c r="B143" s="707"/>
      <c r="C143" s="708"/>
      <c r="D143" s="706"/>
      <c r="E143" s="709"/>
      <c r="F143" s="709"/>
      <c r="G143" s="709"/>
      <c r="H143" s="709"/>
      <c r="I143" s="709"/>
      <c r="J143" s="709"/>
    </row>
    <row r="144" spans="1:10" ht="16.5">
      <c r="A144" s="706"/>
      <c r="B144" s="707"/>
      <c r="C144" s="708"/>
      <c r="D144" s="706"/>
      <c r="E144" s="709"/>
      <c r="F144" s="709"/>
      <c r="G144" s="709"/>
      <c r="H144" s="709"/>
      <c r="I144" s="709"/>
      <c r="J144" s="709"/>
    </row>
    <row r="145" spans="1:10" ht="16.5">
      <c r="A145" s="706"/>
      <c r="B145" s="707"/>
      <c r="C145" s="708"/>
      <c r="D145" s="706"/>
      <c r="E145" s="709"/>
      <c r="F145" s="709"/>
      <c r="G145" s="709"/>
      <c r="H145" s="709"/>
      <c r="I145" s="709"/>
      <c r="J145" s="709"/>
    </row>
    <row r="146" spans="1:10" ht="16.5">
      <c r="A146" s="706"/>
      <c r="B146" s="707"/>
      <c r="C146" s="708"/>
      <c r="D146" s="706"/>
      <c r="E146" s="709"/>
      <c r="F146" s="709"/>
      <c r="G146" s="709"/>
      <c r="H146" s="709"/>
      <c r="I146" s="709"/>
      <c r="J146" s="709"/>
    </row>
    <row r="147" spans="1:10" ht="16.5">
      <c r="A147" s="706"/>
      <c r="B147" s="707"/>
      <c r="C147" s="708"/>
      <c r="D147" s="706"/>
      <c r="E147" s="709"/>
      <c r="F147" s="709"/>
      <c r="G147" s="709"/>
      <c r="H147" s="709"/>
      <c r="I147" s="709"/>
      <c r="J147" s="709"/>
    </row>
    <row r="148" spans="1:10" ht="16.5">
      <c r="A148" s="706"/>
      <c r="B148" s="707"/>
      <c r="C148" s="708"/>
      <c r="D148" s="706"/>
      <c r="E148" s="709"/>
      <c r="F148" s="709"/>
      <c r="G148" s="709"/>
      <c r="H148" s="709"/>
      <c r="I148" s="709"/>
      <c r="J148" s="709"/>
    </row>
    <row r="149" spans="1:10" ht="16.5">
      <c r="A149" s="706"/>
      <c r="B149" s="707"/>
      <c r="C149" s="708"/>
      <c r="D149" s="706"/>
      <c r="E149" s="709"/>
      <c r="F149" s="709"/>
      <c r="G149" s="709"/>
      <c r="H149" s="709"/>
      <c r="I149" s="709"/>
      <c r="J149" s="709"/>
    </row>
    <row r="150" spans="1:10" ht="16.5">
      <c r="A150" s="706"/>
      <c r="B150" s="707"/>
      <c r="C150" s="708"/>
      <c r="D150" s="706"/>
      <c r="E150" s="709"/>
      <c r="F150" s="709"/>
      <c r="G150" s="709"/>
      <c r="H150" s="709"/>
      <c r="I150" s="709"/>
      <c r="J150" s="709"/>
    </row>
    <row r="151" spans="1:10" ht="16.5">
      <c r="A151" s="706"/>
      <c r="B151" s="707"/>
      <c r="C151" s="708"/>
      <c r="D151" s="706"/>
      <c r="E151" s="709"/>
      <c r="F151" s="709"/>
      <c r="G151" s="709"/>
      <c r="H151" s="709"/>
      <c r="I151" s="709"/>
      <c r="J151" s="709"/>
    </row>
    <row r="152" spans="1:10" ht="16.5">
      <c r="A152" s="706"/>
      <c r="B152" s="707"/>
      <c r="C152" s="708"/>
      <c r="D152" s="706"/>
      <c r="E152" s="709"/>
      <c r="F152" s="709"/>
      <c r="G152" s="709"/>
      <c r="H152" s="709"/>
      <c r="I152" s="709"/>
      <c r="J152" s="709"/>
    </row>
    <row r="153" spans="1:10" ht="16.5">
      <c r="A153" s="706"/>
      <c r="B153" s="707"/>
      <c r="C153" s="708"/>
      <c r="D153" s="706"/>
      <c r="E153" s="709"/>
      <c r="F153" s="709"/>
      <c r="G153" s="709"/>
      <c r="H153" s="709"/>
      <c r="I153" s="709"/>
      <c r="J153" s="709"/>
    </row>
    <row r="154" spans="1:10" ht="16.5">
      <c r="A154" s="706"/>
      <c r="B154" s="707"/>
      <c r="C154" s="708"/>
      <c r="D154" s="706"/>
      <c r="E154" s="709"/>
      <c r="F154" s="709"/>
      <c r="G154" s="709"/>
      <c r="H154" s="709"/>
      <c r="I154" s="709"/>
      <c r="J154" s="709"/>
    </row>
    <row r="155" spans="1:10" ht="16.5">
      <c r="A155" s="706"/>
      <c r="B155" s="707"/>
      <c r="C155" s="708"/>
      <c r="D155" s="706"/>
      <c r="E155" s="709"/>
      <c r="F155" s="709"/>
      <c r="G155" s="709"/>
      <c r="H155" s="709"/>
      <c r="I155" s="709"/>
      <c r="J155" s="709"/>
    </row>
    <row r="156" spans="1:10" ht="16.5">
      <c r="A156" s="706"/>
      <c r="B156" s="707"/>
      <c r="C156" s="708"/>
      <c r="D156" s="706"/>
      <c r="E156" s="709"/>
      <c r="F156" s="709"/>
      <c r="G156" s="709"/>
      <c r="H156" s="709"/>
      <c r="I156" s="709"/>
      <c r="J156" s="709"/>
    </row>
    <row r="157" spans="1:10" ht="16.5">
      <c r="A157" s="706"/>
      <c r="B157" s="707"/>
      <c r="C157" s="708"/>
      <c r="D157" s="706"/>
      <c r="E157" s="709"/>
      <c r="F157" s="709"/>
      <c r="G157" s="709"/>
      <c r="H157" s="709"/>
      <c r="I157" s="709"/>
      <c r="J157" s="709"/>
    </row>
    <row r="158" spans="1:10" ht="16.5">
      <c r="A158" s="706"/>
      <c r="B158" s="707"/>
      <c r="C158" s="708"/>
      <c r="D158" s="706"/>
      <c r="E158" s="709"/>
      <c r="F158" s="709"/>
      <c r="G158" s="709"/>
      <c r="H158" s="709"/>
      <c r="I158" s="709"/>
      <c r="J158" s="709"/>
    </row>
    <row r="159" spans="1:10" ht="16.5">
      <c r="A159" s="706"/>
      <c r="B159" s="707"/>
      <c r="C159" s="708"/>
      <c r="D159" s="706"/>
      <c r="E159" s="709"/>
      <c r="F159" s="709"/>
      <c r="G159" s="709"/>
      <c r="H159" s="709"/>
      <c r="I159" s="709"/>
      <c r="J159" s="709"/>
    </row>
    <row r="160" spans="1:10" ht="16.5">
      <c r="A160" s="706"/>
      <c r="B160" s="707"/>
      <c r="C160" s="708"/>
      <c r="D160" s="706"/>
      <c r="E160" s="709"/>
      <c r="F160" s="709"/>
      <c r="G160" s="709"/>
      <c r="H160" s="709"/>
      <c r="I160" s="709"/>
      <c r="J160" s="709"/>
    </row>
    <row r="161" spans="1:10" ht="16.5">
      <c r="A161" s="706"/>
      <c r="B161" s="707"/>
      <c r="C161" s="708"/>
      <c r="D161" s="706"/>
      <c r="E161" s="709"/>
      <c r="F161" s="709"/>
      <c r="G161" s="709"/>
      <c r="H161" s="709"/>
      <c r="I161" s="709"/>
      <c r="J161" s="709"/>
    </row>
    <row r="162" spans="1:10" ht="16.5">
      <c r="A162" s="706"/>
      <c r="B162" s="707"/>
      <c r="C162" s="708"/>
      <c r="D162" s="706"/>
      <c r="E162" s="709"/>
      <c r="F162" s="709"/>
      <c r="G162" s="709"/>
      <c r="H162" s="709"/>
      <c r="I162" s="709"/>
      <c r="J162" s="709"/>
    </row>
    <row r="163" spans="1:10" ht="16.5">
      <c r="A163" s="706"/>
      <c r="B163" s="707"/>
      <c r="C163" s="708"/>
      <c r="D163" s="706"/>
      <c r="E163" s="709"/>
      <c r="F163" s="709"/>
      <c r="G163" s="709"/>
      <c r="H163" s="709"/>
      <c r="I163" s="709"/>
      <c r="J163" s="709"/>
    </row>
    <row r="164" spans="1:10" ht="16.5">
      <c r="A164" s="706"/>
      <c r="B164" s="707"/>
      <c r="C164" s="708"/>
      <c r="D164" s="706"/>
      <c r="E164" s="709"/>
      <c r="F164" s="709"/>
      <c r="G164" s="709"/>
      <c r="H164" s="709"/>
      <c r="I164" s="709"/>
      <c r="J164" s="709"/>
    </row>
    <row r="165" spans="1:10" ht="16.5">
      <c r="A165" s="706"/>
      <c r="B165" s="707"/>
      <c r="C165" s="708"/>
      <c r="D165" s="706"/>
      <c r="E165" s="709"/>
      <c r="F165" s="709"/>
      <c r="G165" s="709"/>
      <c r="H165" s="709"/>
      <c r="I165" s="709"/>
      <c r="J165" s="709"/>
    </row>
    <row r="166" spans="1:10" ht="16.5">
      <c r="A166" s="706"/>
      <c r="B166" s="707"/>
      <c r="C166" s="708"/>
      <c r="D166" s="706"/>
      <c r="E166" s="709"/>
      <c r="F166" s="709"/>
      <c r="G166" s="709"/>
      <c r="H166" s="709"/>
      <c r="I166" s="709"/>
      <c r="J166" s="709"/>
    </row>
    <row r="167" spans="1:10" ht="16.5">
      <c r="A167" s="706"/>
      <c r="B167" s="707"/>
      <c r="C167" s="708"/>
      <c r="D167" s="706"/>
      <c r="E167" s="709"/>
      <c r="F167" s="709"/>
      <c r="G167" s="709"/>
      <c r="H167" s="709"/>
      <c r="I167" s="709"/>
      <c r="J167" s="709"/>
    </row>
    <row r="168" spans="1:10" ht="16.5">
      <c r="A168" s="706"/>
      <c r="B168" s="707"/>
      <c r="C168" s="708"/>
      <c r="D168" s="706"/>
      <c r="E168" s="709"/>
      <c r="F168" s="709"/>
      <c r="G168" s="709"/>
      <c r="H168" s="709"/>
      <c r="I168" s="709"/>
      <c r="J168" s="709"/>
    </row>
    <row r="169" spans="1:10" ht="16.5">
      <c r="A169" s="706"/>
      <c r="B169" s="707"/>
      <c r="C169" s="708"/>
      <c r="D169" s="706"/>
      <c r="E169" s="709"/>
      <c r="F169" s="709"/>
      <c r="G169" s="709"/>
      <c r="H169" s="709"/>
      <c r="I169" s="709"/>
      <c r="J169" s="709"/>
    </row>
    <row r="170" spans="1:10" ht="16.5">
      <c r="A170" s="706"/>
      <c r="B170" s="707"/>
      <c r="C170" s="708"/>
      <c r="D170" s="706"/>
      <c r="E170" s="709"/>
      <c r="F170" s="709"/>
      <c r="G170" s="709"/>
      <c r="H170" s="709"/>
      <c r="I170" s="709"/>
      <c r="J170" s="709"/>
    </row>
    <row r="171" spans="1:10" ht="16.5">
      <c r="A171" s="706"/>
      <c r="B171" s="707"/>
      <c r="C171" s="708"/>
      <c r="D171" s="706"/>
      <c r="E171" s="709"/>
      <c r="F171" s="709"/>
      <c r="G171" s="709"/>
      <c r="H171" s="709"/>
      <c r="I171" s="709"/>
      <c r="J171" s="709"/>
    </row>
    <row r="172" spans="1:10" ht="16.5">
      <c r="A172" s="706"/>
      <c r="B172" s="707"/>
      <c r="C172" s="708"/>
      <c r="D172" s="706"/>
      <c r="E172" s="709"/>
      <c r="F172" s="709"/>
      <c r="G172" s="709"/>
      <c r="H172" s="709"/>
      <c r="I172" s="709"/>
      <c r="J172" s="709"/>
    </row>
    <row r="173" spans="1:10" ht="16.5">
      <c r="A173" s="706"/>
      <c r="B173" s="707"/>
      <c r="C173" s="708"/>
      <c r="D173" s="706"/>
      <c r="E173" s="709"/>
      <c r="F173" s="709"/>
      <c r="G173" s="709"/>
      <c r="H173" s="709"/>
      <c r="I173" s="709"/>
      <c r="J173" s="709"/>
    </row>
    <row r="174" spans="1:10" ht="16.5">
      <c r="A174" s="706"/>
      <c r="B174" s="707"/>
      <c r="C174" s="708"/>
      <c r="D174" s="706"/>
      <c r="E174" s="709"/>
      <c r="F174" s="709"/>
      <c r="G174" s="709"/>
      <c r="H174" s="709"/>
      <c r="I174" s="709"/>
      <c r="J174" s="709"/>
    </row>
    <row r="175" spans="1:10" ht="16.5">
      <c r="A175" s="706"/>
      <c r="B175" s="707"/>
      <c r="C175" s="708"/>
      <c r="D175" s="706"/>
      <c r="E175" s="709"/>
      <c r="F175" s="709"/>
      <c r="G175" s="709"/>
      <c r="H175" s="709"/>
      <c r="I175" s="709"/>
      <c r="J175" s="709"/>
    </row>
    <row r="176" spans="1:10" ht="16.5">
      <c r="A176" s="706"/>
      <c r="B176" s="707"/>
      <c r="C176" s="708"/>
      <c r="D176" s="706"/>
      <c r="E176" s="709"/>
      <c r="F176" s="709"/>
      <c r="G176" s="709"/>
      <c r="H176" s="709"/>
      <c r="I176" s="709"/>
      <c r="J176" s="709"/>
    </row>
    <row r="177" spans="1:10" ht="16.5">
      <c r="A177" s="706"/>
      <c r="B177" s="707"/>
      <c r="C177" s="708"/>
      <c r="D177" s="706"/>
      <c r="E177" s="709"/>
      <c r="F177" s="709"/>
      <c r="G177" s="709"/>
      <c r="H177" s="709"/>
      <c r="I177" s="709"/>
      <c r="J177" s="709"/>
    </row>
    <row r="178" spans="1:10" ht="16.5">
      <c r="A178" s="706"/>
      <c r="B178" s="707"/>
      <c r="C178" s="708"/>
      <c r="D178" s="706"/>
      <c r="E178" s="709"/>
      <c r="F178" s="709"/>
      <c r="G178" s="709"/>
      <c r="H178" s="709"/>
      <c r="I178" s="709"/>
      <c r="J178" s="709"/>
    </row>
    <row r="179" spans="1:10" ht="16.5">
      <c r="A179" s="706"/>
      <c r="B179" s="707"/>
      <c r="C179" s="708"/>
      <c r="D179" s="706"/>
      <c r="E179" s="709"/>
      <c r="F179" s="709"/>
      <c r="G179" s="709"/>
      <c r="H179" s="709"/>
      <c r="I179" s="709"/>
      <c r="J179" s="709"/>
    </row>
    <row r="180" spans="1:10" ht="16.5">
      <c r="A180" s="706"/>
      <c r="B180" s="707"/>
      <c r="C180" s="708"/>
      <c r="D180" s="706"/>
      <c r="E180" s="709"/>
      <c r="F180" s="709"/>
      <c r="G180" s="709"/>
      <c r="H180" s="709"/>
      <c r="I180" s="709"/>
      <c r="J180" s="709"/>
    </row>
    <row r="181" spans="1:10" ht="16.5">
      <c r="A181" s="706"/>
      <c r="B181" s="707"/>
      <c r="C181" s="708"/>
      <c r="D181" s="706"/>
      <c r="E181" s="709"/>
      <c r="F181" s="709"/>
      <c r="G181" s="709"/>
      <c r="H181" s="709"/>
      <c r="I181" s="709"/>
      <c r="J181" s="709"/>
    </row>
    <row r="182" spans="1:10" ht="16.5">
      <c r="A182" s="706"/>
      <c r="B182" s="707"/>
      <c r="C182" s="708"/>
      <c r="D182" s="706"/>
      <c r="E182" s="709"/>
      <c r="F182" s="709"/>
      <c r="G182" s="709"/>
      <c r="H182" s="709"/>
      <c r="I182" s="709"/>
      <c r="J182" s="709"/>
    </row>
    <row r="183" spans="1:10" ht="16.5">
      <c r="A183" s="706"/>
      <c r="B183" s="707"/>
      <c r="C183" s="708"/>
      <c r="D183" s="706"/>
      <c r="E183" s="709"/>
      <c r="F183" s="709"/>
      <c r="G183" s="709"/>
      <c r="H183" s="709"/>
      <c r="I183" s="709"/>
      <c r="J183" s="709"/>
    </row>
    <row r="184" spans="1:10" ht="16.5">
      <c r="A184" s="706"/>
      <c r="B184" s="707"/>
      <c r="C184" s="708"/>
      <c r="D184" s="706"/>
      <c r="E184" s="709"/>
      <c r="F184" s="709"/>
      <c r="G184" s="709"/>
      <c r="H184" s="709"/>
      <c r="I184" s="709"/>
      <c r="J184" s="709"/>
    </row>
    <row r="185" spans="1:10" ht="16.5">
      <c r="A185" s="706"/>
      <c r="B185" s="707"/>
      <c r="C185" s="708"/>
      <c r="D185" s="706"/>
      <c r="E185" s="709"/>
      <c r="F185" s="709"/>
      <c r="G185" s="709"/>
      <c r="H185" s="709"/>
      <c r="I185" s="709"/>
      <c r="J185" s="709"/>
    </row>
    <row r="186" spans="1:10" ht="16.5">
      <c r="A186" s="706"/>
      <c r="B186" s="707"/>
      <c r="C186" s="708"/>
      <c r="D186" s="706"/>
      <c r="E186" s="709"/>
      <c r="F186" s="709"/>
      <c r="G186" s="709"/>
      <c r="H186" s="709"/>
      <c r="I186" s="709"/>
      <c r="J186" s="709"/>
    </row>
    <row r="187" spans="1:10" ht="16.5">
      <c r="A187" s="706"/>
      <c r="B187" s="707"/>
      <c r="C187" s="708"/>
      <c r="D187" s="706"/>
      <c r="E187" s="709"/>
      <c r="F187" s="709"/>
      <c r="G187" s="709"/>
      <c r="H187" s="709"/>
      <c r="I187" s="709"/>
      <c r="J187" s="709"/>
    </row>
    <row r="188" spans="1:10" ht="16.5">
      <c r="A188" s="706"/>
      <c r="B188" s="707"/>
      <c r="C188" s="708"/>
      <c r="D188" s="706"/>
      <c r="E188" s="709"/>
      <c r="F188" s="709"/>
      <c r="G188" s="709"/>
      <c r="H188" s="709"/>
      <c r="I188" s="709"/>
      <c r="J188" s="709"/>
    </row>
    <row r="189" spans="1:10" ht="16.5">
      <c r="A189" s="706"/>
      <c r="B189" s="707"/>
      <c r="C189" s="708"/>
      <c r="D189" s="706"/>
      <c r="E189" s="709"/>
      <c r="F189" s="709"/>
      <c r="G189" s="709"/>
      <c r="H189" s="709"/>
      <c r="I189" s="709"/>
      <c r="J189" s="709"/>
    </row>
    <row r="190" spans="1:10" ht="16.5">
      <c r="A190" s="706"/>
      <c r="B190" s="707"/>
      <c r="C190" s="708"/>
      <c r="D190" s="706"/>
      <c r="E190" s="709"/>
      <c r="F190" s="709"/>
      <c r="G190" s="709"/>
      <c r="H190" s="709"/>
      <c r="I190" s="709"/>
      <c r="J190" s="709"/>
    </row>
    <row r="191" spans="1:10" ht="16.5">
      <c r="A191" s="706"/>
      <c r="B191" s="707"/>
      <c r="C191" s="708"/>
      <c r="D191" s="706"/>
      <c r="E191" s="709"/>
      <c r="F191" s="709"/>
      <c r="G191" s="709"/>
      <c r="H191" s="709"/>
      <c r="I191" s="709"/>
      <c r="J191" s="709"/>
    </row>
    <row r="192" spans="1:10" ht="16.5">
      <c r="A192" s="706"/>
      <c r="B192" s="707"/>
      <c r="C192" s="708"/>
      <c r="D192" s="706"/>
      <c r="E192" s="709"/>
      <c r="F192" s="709"/>
      <c r="G192" s="709"/>
      <c r="H192" s="709"/>
      <c r="I192" s="709"/>
      <c r="J192" s="709"/>
    </row>
    <row r="193" spans="1:10" ht="16.5">
      <c r="A193" s="706"/>
      <c r="B193" s="707"/>
      <c r="C193" s="708"/>
      <c r="D193" s="706"/>
      <c r="E193" s="709"/>
      <c r="F193" s="709"/>
      <c r="G193" s="709"/>
      <c r="H193" s="709"/>
      <c r="I193" s="709"/>
      <c r="J193" s="709"/>
    </row>
    <row r="194" spans="1:10" ht="16.5">
      <c r="A194" s="706"/>
      <c r="B194" s="707"/>
      <c r="C194" s="708"/>
      <c r="D194" s="706"/>
      <c r="E194" s="709"/>
      <c r="F194" s="709"/>
      <c r="G194" s="709"/>
      <c r="H194" s="709"/>
      <c r="I194" s="709"/>
      <c r="J194" s="709"/>
    </row>
    <row r="195" spans="1:10" ht="16.5">
      <c r="A195" s="706"/>
      <c r="B195" s="707"/>
      <c r="C195" s="708"/>
      <c r="D195" s="706"/>
      <c r="E195" s="709"/>
      <c r="F195" s="709"/>
      <c r="G195" s="709"/>
      <c r="H195" s="709"/>
      <c r="I195" s="709"/>
      <c r="J195" s="709"/>
    </row>
    <row r="196" spans="1:10" ht="16.5">
      <c r="A196" s="706"/>
      <c r="B196" s="707"/>
      <c r="C196" s="708"/>
      <c r="D196" s="706"/>
      <c r="E196" s="709"/>
      <c r="F196" s="709"/>
      <c r="G196" s="709"/>
      <c r="H196" s="709"/>
      <c r="I196" s="709"/>
      <c r="J196" s="709"/>
    </row>
    <row r="197" spans="1:10" ht="16.5">
      <c r="A197" s="706"/>
      <c r="B197" s="707"/>
      <c r="C197" s="708"/>
      <c r="D197" s="706"/>
      <c r="E197" s="709"/>
      <c r="F197" s="709"/>
      <c r="G197" s="709"/>
      <c r="H197" s="709"/>
      <c r="I197" s="709"/>
      <c r="J197" s="709"/>
    </row>
    <row r="198" spans="1:10" ht="16.5">
      <c r="A198" s="706"/>
      <c r="B198" s="707"/>
      <c r="C198" s="708"/>
      <c r="D198" s="706"/>
      <c r="E198" s="709"/>
      <c r="F198" s="709"/>
      <c r="G198" s="709"/>
      <c r="H198" s="709"/>
      <c r="I198" s="709"/>
      <c r="J198" s="709"/>
    </row>
    <row r="199" spans="1:10" ht="16.5">
      <c r="A199" s="706"/>
      <c r="B199" s="707"/>
      <c r="C199" s="708"/>
      <c r="D199" s="706"/>
      <c r="E199" s="709"/>
      <c r="F199" s="709"/>
      <c r="G199" s="709"/>
      <c r="H199" s="709"/>
      <c r="I199" s="709"/>
      <c r="J199" s="709"/>
    </row>
    <row r="200" spans="1:10" ht="16.5">
      <c r="A200" s="706"/>
      <c r="B200" s="707"/>
      <c r="C200" s="708"/>
      <c r="D200" s="706"/>
      <c r="E200" s="709"/>
      <c r="F200" s="709"/>
      <c r="G200" s="709"/>
      <c r="H200" s="709"/>
      <c r="I200" s="709"/>
      <c r="J200" s="709"/>
    </row>
    <row r="201" spans="1:10" ht="16.5">
      <c r="A201" s="706"/>
      <c r="B201" s="707"/>
      <c r="C201" s="708"/>
      <c r="D201" s="706"/>
      <c r="E201" s="709"/>
      <c r="F201" s="709"/>
      <c r="G201" s="709"/>
      <c r="H201" s="709"/>
      <c r="I201" s="709"/>
      <c r="J201" s="709"/>
    </row>
    <row r="202" spans="1:10" ht="16.5">
      <c r="A202" s="706"/>
      <c r="B202" s="707"/>
      <c r="C202" s="708"/>
      <c r="D202" s="706"/>
      <c r="E202" s="709"/>
      <c r="F202" s="709"/>
      <c r="G202" s="709"/>
      <c r="H202" s="709"/>
      <c r="I202" s="709"/>
      <c r="J202" s="709"/>
    </row>
    <row r="203" spans="1:10" ht="16.5">
      <c r="A203" s="706"/>
      <c r="B203" s="707"/>
      <c r="C203" s="708"/>
      <c r="D203" s="706"/>
      <c r="E203" s="709"/>
      <c r="F203" s="709"/>
      <c r="G203" s="709"/>
      <c r="H203" s="709"/>
      <c r="I203" s="709"/>
      <c r="J203" s="709"/>
    </row>
    <row r="204" spans="1:10" ht="16.5">
      <c r="A204" s="706"/>
      <c r="B204" s="707"/>
      <c r="C204" s="708"/>
      <c r="D204" s="706"/>
      <c r="E204" s="709"/>
      <c r="F204" s="709"/>
      <c r="G204" s="709"/>
      <c r="H204" s="709"/>
      <c r="I204" s="709"/>
      <c r="J204" s="709"/>
    </row>
    <row r="205" spans="1:10" ht="16.5">
      <c r="A205" s="706"/>
      <c r="B205" s="707"/>
      <c r="C205" s="708"/>
      <c r="D205" s="706"/>
      <c r="E205" s="709"/>
      <c r="F205" s="709"/>
      <c r="G205" s="709"/>
      <c r="H205" s="709"/>
      <c r="I205" s="709"/>
      <c r="J205" s="709"/>
    </row>
    <row r="206" spans="1:10" ht="16.5">
      <c r="A206" s="706"/>
      <c r="B206" s="707"/>
      <c r="C206" s="708"/>
      <c r="D206" s="706"/>
      <c r="E206" s="709"/>
      <c r="F206" s="709"/>
      <c r="G206" s="709"/>
      <c r="H206" s="709"/>
      <c r="I206" s="709"/>
      <c r="J206" s="709"/>
    </row>
    <row r="207" spans="1:10" ht="16.5">
      <c r="A207" s="706"/>
      <c r="B207" s="707"/>
      <c r="C207" s="708"/>
      <c r="D207" s="706"/>
      <c r="E207" s="709"/>
      <c r="F207" s="709"/>
      <c r="G207" s="709"/>
      <c r="H207" s="709"/>
      <c r="I207" s="709"/>
      <c r="J207" s="709"/>
    </row>
    <row r="208" spans="1:10" ht="16.5">
      <c r="A208" s="706"/>
      <c r="B208" s="707"/>
      <c r="C208" s="708"/>
      <c r="D208" s="706"/>
      <c r="E208" s="709"/>
      <c r="F208" s="709"/>
      <c r="G208" s="709"/>
      <c r="H208" s="709"/>
      <c r="I208" s="709"/>
      <c r="J208" s="709"/>
    </row>
    <row r="209" spans="1:10" ht="16.5">
      <c r="A209" s="706"/>
      <c r="B209" s="707"/>
      <c r="C209" s="708"/>
      <c r="D209" s="706"/>
      <c r="E209" s="709"/>
      <c r="F209" s="709"/>
      <c r="G209" s="709"/>
      <c r="H209" s="709"/>
      <c r="I209" s="709"/>
      <c r="J209" s="709"/>
    </row>
    <row r="210" spans="1:10" ht="16.5">
      <c r="A210" s="706"/>
      <c r="B210" s="707"/>
      <c r="C210" s="708"/>
      <c r="D210" s="706"/>
      <c r="E210" s="709"/>
      <c r="F210" s="709"/>
      <c r="G210" s="709"/>
      <c r="H210" s="709"/>
      <c r="I210" s="709"/>
      <c r="J210" s="709"/>
    </row>
    <row r="211" spans="1:10" ht="16.5">
      <c r="A211" s="706"/>
      <c r="B211" s="707"/>
      <c r="C211" s="708"/>
      <c r="D211" s="706"/>
      <c r="E211" s="709"/>
      <c r="F211" s="709"/>
      <c r="G211" s="709"/>
      <c r="H211" s="709"/>
      <c r="I211" s="709"/>
      <c r="J211" s="709"/>
    </row>
    <row r="212" spans="1:10" ht="16.5">
      <c r="A212" s="706"/>
      <c r="B212" s="707"/>
      <c r="C212" s="708"/>
      <c r="D212" s="706"/>
      <c r="E212" s="709"/>
      <c r="F212" s="709"/>
      <c r="G212" s="709"/>
      <c r="H212" s="709"/>
      <c r="I212" s="709"/>
      <c r="J212" s="709"/>
    </row>
    <row r="213" spans="1:10" ht="16.5">
      <c r="A213" s="706"/>
      <c r="B213" s="707"/>
      <c r="C213" s="708"/>
      <c r="D213" s="706"/>
      <c r="E213" s="709"/>
      <c r="F213" s="709"/>
      <c r="G213" s="709"/>
      <c r="H213" s="709"/>
      <c r="I213" s="709"/>
      <c r="J213" s="709"/>
    </row>
    <row r="214" spans="1:10" ht="16.5">
      <c r="A214" s="706"/>
      <c r="B214" s="707"/>
      <c r="C214" s="708"/>
      <c r="D214" s="706"/>
      <c r="E214" s="709"/>
      <c r="F214" s="709"/>
      <c r="G214" s="709"/>
      <c r="H214" s="709"/>
      <c r="I214" s="709"/>
      <c r="J214" s="709"/>
    </row>
    <row r="215" spans="1:10" ht="16.5">
      <c r="A215" s="706"/>
      <c r="B215" s="707"/>
      <c r="C215" s="708"/>
      <c r="D215" s="706"/>
      <c r="E215" s="709"/>
      <c r="F215" s="709"/>
      <c r="G215" s="709"/>
      <c r="H215" s="709"/>
      <c r="I215" s="709"/>
      <c r="J215" s="709"/>
    </row>
    <row r="216" spans="1:10" ht="16.5">
      <c r="A216" s="706"/>
      <c r="B216" s="707"/>
      <c r="C216" s="708"/>
      <c r="D216" s="706"/>
      <c r="E216" s="709"/>
      <c r="F216" s="709"/>
      <c r="G216" s="709"/>
      <c r="H216" s="709"/>
      <c r="I216" s="709"/>
      <c r="J216" s="709"/>
    </row>
    <row r="217" spans="1:10" ht="16.5">
      <c r="A217" s="706"/>
      <c r="B217" s="707"/>
      <c r="C217" s="708"/>
      <c r="D217" s="706"/>
      <c r="E217" s="709"/>
      <c r="F217" s="709"/>
      <c r="G217" s="709"/>
      <c r="H217" s="709"/>
      <c r="I217" s="709"/>
      <c r="J217" s="709"/>
    </row>
    <row r="218" spans="1:10" ht="16.5">
      <c r="A218" s="706"/>
      <c r="B218" s="707"/>
      <c r="C218" s="708"/>
      <c r="D218" s="706"/>
      <c r="E218" s="709"/>
      <c r="F218" s="709"/>
      <c r="G218" s="709"/>
      <c r="H218" s="709"/>
      <c r="I218" s="709"/>
      <c r="J218" s="709"/>
    </row>
    <row r="219" spans="1:10" ht="16.5">
      <c r="A219" s="706"/>
      <c r="B219" s="707"/>
      <c r="C219" s="708"/>
      <c r="D219" s="706"/>
      <c r="E219" s="709"/>
      <c r="F219" s="709"/>
      <c r="G219" s="709"/>
      <c r="H219" s="709"/>
      <c r="I219" s="709"/>
      <c r="J219" s="709"/>
    </row>
    <row r="220" spans="1:10" ht="16.5">
      <c r="A220" s="706"/>
      <c r="B220" s="707"/>
      <c r="C220" s="708"/>
      <c r="D220" s="706"/>
      <c r="E220" s="709"/>
      <c r="F220" s="709"/>
      <c r="G220" s="709"/>
      <c r="H220" s="709"/>
      <c r="I220" s="709"/>
      <c r="J220" s="709"/>
    </row>
    <row r="221" spans="1:10" ht="16.5">
      <c r="A221" s="706"/>
      <c r="B221" s="707"/>
      <c r="C221" s="708"/>
      <c r="D221" s="706"/>
      <c r="E221" s="709"/>
      <c r="F221" s="709"/>
      <c r="G221" s="709"/>
      <c r="H221" s="709"/>
      <c r="I221" s="709"/>
      <c r="J221" s="709"/>
    </row>
    <row r="222" spans="1:10" ht="16.5">
      <c r="A222" s="706"/>
      <c r="B222" s="707"/>
      <c r="C222" s="708"/>
      <c r="D222" s="706"/>
      <c r="E222" s="709"/>
      <c r="F222" s="709"/>
      <c r="G222" s="709"/>
      <c r="H222" s="709"/>
      <c r="I222" s="709"/>
      <c r="J222" s="709"/>
    </row>
    <row r="223" spans="1:10" ht="16.5">
      <c r="A223" s="706"/>
      <c r="B223" s="707"/>
      <c r="C223" s="708"/>
      <c r="D223" s="706"/>
      <c r="E223" s="709"/>
      <c r="F223" s="709"/>
      <c r="G223" s="709"/>
      <c r="H223" s="709"/>
      <c r="I223" s="709"/>
      <c r="J223" s="709"/>
    </row>
    <row r="224" spans="1:10" ht="16.5">
      <c r="A224" s="706"/>
      <c r="B224" s="707"/>
      <c r="C224" s="708"/>
      <c r="D224" s="706"/>
      <c r="E224" s="709"/>
      <c r="F224" s="709"/>
      <c r="G224" s="709"/>
      <c r="H224" s="709"/>
      <c r="I224" s="709"/>
      <c r="J224" s="709"/>
    </row>
    <row r="225" spans="1:10" ht="16.5">
      <c r="A225" s="706"/>
      <c r="B225" s="707"/>
      <c r="C225" s="708"/>
      <c r="D225" s="706"/>
      <c r="E225" s="709"/>
      <c r="F225" s="709"/>
      <c r="G225" s="709"/>
      <c r="H225" s="709"/>
      <c r="I225" s="709"/>
      <c r="J225" s="709"/>
    </row>
    <row r="226" spans="1:10" ht="16.5">
      <c r="A226" s="706"/>
      <c r="B226" s="707"/>
      <c r="C226" s="708"/>
      <c r="D226" s="706"/>
      <c r="E226" s="709"/>
      <c r="F226" s="709"/>
      <c r="G226" s="709"/>
      <c r="H226" s="709"/>
      <c r="I226" s="709"/>
      <c r="J226" s="709"/>
    </row>
    <row r="227" spans="1:10" ht="16.5">
      <c r="A227" s="706"/>
      <c r="B227" s="707"/>
      <c r="C227" s="708"/>
      <c r="D227" s="706"/>
      <c r="E227" s="709"/>
      <c r="F227" s="709"/>
      <c r="G227" s="709"/>
      <c r="H227" s="709"/>
      <c r="I227" s="709"/>
      <c r="J227" s="709"/>
    </row>
    <row r="228" spans="1:10" ht="16.5">
      <c r="A228" s="706"/>
      <c r="B228" s="707"/>
      <c r="C228" s="708"/>
      <c r="D228" s="706"/>
      <c r="E228" s="709"/>
      <c r="F228" s="709"/>
      <c r="G228" s="709"/>
      <c r="H228" s="709"/>
      <c r="I228" s="709"/>
      <c r="J228" s="709"/>
    </row>
    <row r="229" spans="1:10" ht="16.5">
      <c r="A229" s="706"/>
      <c r="B229" s="707"/>
      <c r="C229" s="708"/>
      <c r="D229" s="706"/>
      <c r="E229" s="709"/>
      <c r="F229" s="709"/>
      <c r="G229" s="709"/>
      <c r="H229" s="709"/>
      <c r="I229" s="709"/>
      <c r="J229" s="709"/>
    </row>
    <row r="230" spans="1:10" ht="16.5">
      <c r="A230" s="706"/>
      <c r="B230" s="707"/>
      <c r="C230" s="708"/>
      <c r="D230" s="706"/>
      <c r="E230" s="709"/>
      <c r="F230" s="709"/>
      <c r="G230" s="709"/>
      <c r="H230" s="709"/>
      <c r="I230" s="709"/>
      <c r="J230" s="709"/>
    </row>
    <row r="231" spans="1:10" ht="16.5">
      <c r="A231" s="706"/>
      <c r="B231" s="707"/>
      <c r="C231" s="708"/>
      <c r="D231" s="706"/>
      <c r="E231" s="709"/>
      <c r="F231" s="709"/>
      <c r="G231" s="709"/>
      <c r="H231" s="709"/>
      <c r="I231" s="709"/>
      <c r="J231" s="709"/>
    </row>
    <row r="232" spans="1:10" ht="16.5">
      <c r="A232" s="706"/>
      <c r="B232" s="707"/>
      <c r="C232" s="708"/>
      <c r="D232" s="706"/>
      <c r="E232" s="709"/>
      <c r="F232" s="709"/>
      <c r="G232" s="709"/>
      <c r="H232" s="709"/>
      <c r="I232" s="709"/>
      <c r="J232" s="709"/>
    </row>
    <row r="233" spans="1:10" ht="16.5">
      <c r="A233" s="706"/>
      <c r="B233" s="707"/>
      <c r="C233" s="708"/>
      <c r="D233" s="706"/>
      <c r="E233" s="709"/>
      <c r="F233" s="709"/>
      <c r="G233" s="709"/>
      <c r="H233" s="709"/>
      <c r="I233" s="709"/>
      <c r="J233" s="709"/>
    </row>
    <row r="234" spans="1:10" ht="16.5">
      <c r="A234" s="706"/>
      <c r="B234" s="707"/>
      <c r="C234" s="708"/>
      <c r="D234" s="706"/>
      <c r="E234" s="709"/>
      <c r="F234" s="709"/>
      <c r="G234" s="709"/>
      <c r="H234" s="709"/>
      <c r="I234" s="709"/>
      <c r="J234" s="709"/>
    </row>
    <row r="235" spans="1:10" ht="16.5">
      <c r="A235" s="706"/>
      <c r="B235" s="707"/>
      <c r="C235" s="708"/>
      <c r="D235" s="706"/>
      <c r="E235" s="709"/>
      <c r="F235" s="709"/>
      <c r="G235" s="709"/>
      <c r="H235" s="709"/>
      <c r="I235" s="709"/>
      <c r="J235" s="709"/>
    </row>
    <row r="236" spans="1:10" ht="16.5">
      <c r="A236" s="706"/>
      <c r="B236" s="707"/>
      <c r="C236" s="708"/>
      <c r="D236" s="706"/>
      <c r="E236" s="709"/>
      <c r="F236" s="709"/>
      <c r="G236" s="709"/>
      <c r="H236" s="709"/>
      <c r="I236" s="709"/>
      <c r="J236" s="709"/>
    </row>
    <row r="237" spans="1:10" ht="16.5">
      <c r="A237" s="706"/>
      <c r="B237" s="707"/>
      <c r="C237" s="708"/>
      <c r="D237" s="706"/>
      <c r="E237" s="709"/>
      <c r="F237" s="709"/>
      <c r="G237" s="709"/>
      <c r="H237" s="709"/>
      <c r="I237" s="709"/>
      <c r="J237" s="709"/>
    </row>
    <row r="238" spans="1:10" ht="16.5">
      <c r="A238" s="706"/>
      <c r="B238" s="707"/>
      <c r="C238" s="708"/>
      <c r="D238" s="706"/>
      <c r="E238" s="709"/>
      <c r="F238" s="709"/>
      <c r="G238" s="709"/>
      <c r="H238" s="709"/>
      <c r="I238" s="709"/>
      <c r="J238" s="709"/>
    </row>
    <row r="239" spans="1:10" ht="16.5">
      <c r="A239" s="706"/>
      <c r="B239" s="707"/>
      <c r="C239" s="708"/>
      <c r="D239" s="706"/>
      <c r="E239" s="709"/>
      <c r="F239" s="709"/>
      <c r="G239" s="709"/>
      <c r="H239" s="709"/>
      <c r="I239" s="709"/>
      <c r="J239" s="709"/>
    </row>
    <row r="240" spans="1:10" ht="16.5">
      <c r="A240" s="706"/>
      <c r="B240" s="707"/>
      <c r="C240" s="708"/>
      <c r="D240" s="706"/>
      <c r="E240" s="709"/>
      <c r="F240" s="709"/>
      <c r="G240" s="709"/>
      <c r="H240" s="709"/>
      <c r="I240" s="709"/>
      <c r="J240" s="709"/>
    </row>
    <row r="241" spans="1:10" ht="16.5">
      <c r="A241" s="706"/>
      <c r="B241" s="707"/>
      <c r="C241" s="708"/>
      <c r="D241" s="706"/>
      <c r="E241" s="709"/>
      <c r="F241" s="709"/>
      <c r="G241" s="709"/>
      <c r="H241" s="709"/>
      <c r="I241" s="709"/>
      <c r="J241" s="709"/>
    </row>
    <row r="242" spans="1:10" ht="16.5">
      <c r="A242" s="706"/>
      <c r="B242" s="707"/>
      <c r="C242" s="708"/>
      <c r="D242" s="706"/>
      <c r="E242" s="709"/>
      <c r="F242" s="709"/>
      <c r="G242" s="709"/>
      <c r="H242" s="709"/>
      <c r="I242" s="709"/>
      <c r="J242" s="709"/>
    </row>
    <row r="243" spans="1:10" ht="16.5">
      <c r="A243" s="706"/>
      <c r="B243" s="707"/>
      <c r="C243" s="708"/>
      <c r="D243" s="706"/>
      <c r="E243" s="709"/>
      <c r="F243" s="709"/>
      <c r="G243" s="709"/>
      <c r="H243" s="709"/>
      <c r="I243" s="709"/>
      <c r="J243" s="709"/>
    </row>
    <row r="244" spans="1:10" ht="16.5">
      <c r="A244" s="706"/>
      <c r="B244" s="707"/>
      <c r="C244" s="708"/>
      <c r="D244" s="706"/>
      <c r="E244" s="709"/>
      <c r="F244" s="709"/>
      <c r="G244" s="709"/>
      <c r="H244" s="709"/>
      <c r="I244" s="709"/>
      <c r="J244" s="709"/>
    </row>
    <row r="245" spans="1:10" ht="16.5">
      <c r="A245" s="706"/>
      <c r="B245" s="707"/>
      <c r="C245" s="708"/>
      <c r="D245" s="706"/>
      <c r="E245" s="709"/>
      <c r="F245" s="709"/>
      <c r="G245" s="709"/>
      <c r="H245" s="709"/>
      <c r="I245" s="709"/>
      <c r="J245" s="709"/>
    </row>
    <row r="246" spans="1:10" ht="16.5">
      <c r="A246" s="706"/>
      <c r="B246" s="707"/>
      <c r="C246" s="708"/>
      <c r="D246" s="706"/>
      <c r="E246" s="709"/>
      <c r="F246" s="709"/>
      <c r="G246" s="709"/>
      <c r="H246" s="709"/>
      <c r="I246" s="709"/>
      <c r="J246" s="709"/>
    </row>
    <row r="247" spans="1:10" ht="16.5">
      <c r="A247" s="706"/>
      <c r="B247" s="707"/>
      <c r="C247" s="708"/>
      <c r="D247" s="706"/>
      <c r="E247" s="709"/>
      <c r="F247" s="709"/>
      <c r="G247" s="709"/>
      <c r="H247" s="709"/>
      <c r="I247" s="709"/>
      <c r="J247" s="709"/>
    </row>
  </sheetData>
  <sheetProtection/>
  <mergeCells count="4">
    <mergeCell ref="A3:J3"/>
    <mergeCell ref="B25:D25"/>
    <mergeCell ref="I1:J1"/>
    <mergeCell ref="A2:J2"/>
  </mergeCells>
  <printOptions/>
  <pageMargins left="0.73" right="0.48" top="0.78" bottom="0.62" header="0.5" footer="0.28"/>
  <pageSetup horizontalDpi="600" verticalDpi="600" orientation="landscape" paperSize="9" scale="95" r:id="rId1"/>
  <headerFooter alignWithMargins="0"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8"/>
  <sheetViews>
    <sheetView zoomScale="85" zoomScaleNormal="85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5.8515625" style="461" customWidth="1"/>
    <col min="2" max="2" width="31.57421875" style="422" customWidth="1"/>
    <col min="3" max="3" width="13.421875" style="423" customWidth="1"/>
    <col min="4" max="4" width="15.8515625" style="461" customWidth="1"/>
    <col min="5" max="9" width="12.421875" style="421" customWidth="1"/>
    <col min="10" max="10" width="19.421875" style="421" customWidth="1"/>
    <col min="11" max="11" width="5.421875" style="421" customWidth="1"/>
    <col min="12" max="16384" width="9.140625" style="421" customWidth="1"/>
  </cols>
  <sheetData>
    <row r="1" spans="1:10" ht="36.75" customHeight="1">
      <c r="A1" s="421"/>
      <c r="B1" s="422" t="s">
        <v>591</v>
      </c>
      <c r="D1" s="423"/>
      <c r="H1" s="424" t="s">
        <v>342</v>
      </c>
      <c r="I1" s="1210" t="s">
        <v>331</v>
      </c>
      <c r="J1" s="1210"/>
    </row>
    <row r="2" spans="1:10" ht="36.75" customHeight="1">
      <c r="A2" s="421"/>
      <c r="B2" s="1198" t="s">
        <v>482</v>
      </c>
      <c r="C2" s="1198"/>
      <c r="D2" s="1198"/>
      <c r="E2" s="1198"/>
      <c r="F2" s="1198"/>
      <c r="G2" s="1198"/>
      <c r="H2" s="1198"/>
      <c r="I2" s="1198"/>
      <c r="J2" s="1198"/>
    </row>
    <row r="3" spans="1:10" ht="42" customHeight="1">
      <c r="A3" s="1203" t="s">
        <v>592</v>
      </c>
      <c r="B3" s="1203"/>
      <c r="C3" s="1203"/>
      <c r="D3" s="1203"/>
      <c r="E3" s="1203"/>
      <c r="F3" s="1203"/>
      <c r="G3" s="1203"/>
      <c r="H3" s="1203"/>
      <c r="I3" s="1203"/>
      <c r="J3" s="1203"/>
    </row>
    <row r="4" spans="1:10" ht="24.75" customHeight="1">
      <c r="A4" s="454"/>
      <c r="B4" s="455"/>
      <c r="C4" s="430"/>
      <c r="D4" s="454"/>
      <c r="E4" s="431"/>
      <c r="F4" s="431"/>
      <c r="G4" s="431"/>
      <c r="H4" s="431"/>
      <c r="I4" s="431"/>
      <c r="J4" s="431"/>
    </row>
    <row r="5" spans="1:10" s="434" customFormat="1" ht="49.5">
      <c r="A5" s="432" t="s">
        <v>0</v>
      </c>
      <c r="B5" s="432" t="s">
        <v>287</v>
      </c>
      <c r="C5" s="432" t="s">
        <v>184</v>
      </c>
      <c r="D5" s="433" t="s">
        <v>593</v>
      </c>
      <c r="E5" s="433" t="s">
        <v>333</v>
      </c>
      <c r="F5" s="433" t="s">
        <v>334</v>
      </c>
      <c r="G5" s="433" t="s">
        <v>335</v>
      </c>
      <c r="H5" s="433" t="s">
        <v>336</v>
      </c>
      <c r="I5" s="433" t="s">
        <v>337</v>
      </c>
      <c r="J5" s="433" t="s">
        <v>338</v>
      </c>
    </row>
    <row r="6" spans="1:22" ht="31.5" customHeight="1">
      <c r="A6" s="445">
        <v>1</v>
      </c>
      <c r="B6" s="446" t="s">
        <v>594</v>
      </c>
      <c r="C6" s="437" t="s">
        <v>309</v>
      </c>
      <c r="D6" s="728"/>
      <c r="E6" s="729"/>
      <c r="F6" s="729"/>
      <c r="G6" s="729"/>
      <c r="H6" s="729"/>
      <c r="I6" s="729"/>
      <c r="J6" s="445"/>
      <c r="K6" s="447"/>
      <c r="M6" s="449"/>
      <c r="N6" s="447"/>
      <c r="P6" s="449"/>
      <c r="Q6" s="447"/>
      <c r="S6" s="449"/>
      <c r="T6" s="447"/>
      <c r="V6" s="449"/>
    </row>
    <row r="7" spans="1:10" s="624" customFormat="1" ht="31.5" customHeight="1">
      <c r="A7" s="621"/>
      <c r="B7" s="629" t="s">
        <v>595</v>
      </c>
      <c r="C7" s="622" t="s">
        <v>309</v>
      </c>
      <c r="D7" s="730"/>
      <c r="E7" s="731">
        <f>15000000000/21300/1000000000</f>
        <v>0.000704225352112676</v>
      </c>
      <c r="F7" s="732">
        <f>+E7+E7*10%</f>
        <v>0.0007746478873239435</v>
      </c>
      <c r="G7" s="732">
        <f>+F7+F7*0.1</f>
        <v>0.0008521126760563379</v>
      </c>
      <c r="H7" s="732">
        <f>+G7+G7*0.1</f>
        <v>0.0009373239436619717</v>
      </c>
      <c r="I7" s="732">
        <f>+H7+H7*0.1</f>
        <v>0.0010310563380281689</v>
      </c>
      <c r="J7" s="733">
        <f>+I7+H7+G7+F7+E7</f>
        <v>0.004299366197183098</v>
      </c>
    </row>
    <row r="8" spans="1:10" ht="31.5" customHeight="1">
      <c r="A8" s="445">
        <v>2</v>
      </c>
      <c r="B8" s="451" t="s">
        <v>596</v>
      </c>
      <c r="C8" s="437" t="s">
        <v>309</v>
      </c>
      <c r="D8" s="728"/>
      <c r="E8" s="729"/>
      <c r="F8" s="729"/>
      <c r="G8" s="729"/>
      <c r="H8" s="729"/>
      <c r="I8" s="729"/>
      <c r="J8" s="445"/>
    </row>
    <row r="9" spans="1:10" ht="31.5" customHeight="1">
      <c r="A9" s="445">
        <v>3</v>
      </c>
      <c r="B9" s="451" t="s">
        <v>597</v>
      </c>
      <c r="C9" s="437" t="s">
        <v>309</v>
      </c>
      <c r="D9" s="728"/>
      <c r="E9" s="729"/>
      <c r="F9" s="729"/>
      <c r="G9" s="729"/>
      <c r="H9" s="729"/>
      <c r="I9" s="729"/>
      <c r="J9" s="445"/>
    </row>
    <row r="10" spans="1:10" ht="31.5" customHeight="1">
      <c r="A10" s="445">
        <v>4</v>
      </c>
      <c r="B10" s="451" t="s">
        <v>598</v>
      </c>
      <c r="C10" s="437" t="s">
        <v>309</v>
      </c>
      <c r="D10" s="728"/>
      <c r="E10" s="729"/>
      <c r="F10" s="729"/>
      <c r="G10" s="729"/>
      <c r="H10" s="729"/>
      <c r="I10" s="729"/>
      <c r="J10" s="445"/>
    </row>
    <row r="11" spans="1:10" ht="31.5" customHeight="1">
      <c r="A11" s="445">
        <v>5</v>
      </c>
      <c r="B11" s="451" t="s">
        <v>147</v>
      </c>
      <c r="C11" s="437" t="s">
        <v>309</v>
      </c>
      <c r="D11" s="728"/>
      <c r="E11" s="729"/>
      <c r="F11" s="729"/>
      <c r="G11" s="729"/>
      <c r="H11" s="729"/>
      <c r="I11" s="729"/>
      <c r="J11" s="445"/>
    </row>
    <row r="12" spans="1:10" ht="31.5" customHeight="1">
      <c r="A12" s="445">
        <v>6</v>
      </c>
      <c r="B12" s="451" t="s">
        <v>599</v>
      </c>
      <c r="C12" s="437" t="s">
        <v>309</v>
      </c>
      <c r="D12" s="728"/>
      <c r="E12" s="729"/>
      <c r="F12" s="729"/>
      <c r="G12" s="729"/>
      <c r="H12" s="729"/>
      <c r="I12" s="729"/>
      <c r="J12" s="445"/>
    </row>
    <row r="13" spans="1:22" ht="31.5" customHeight="1">
      <c r="A13" s="445">
        <v>7</v>
      </c>
      <c r="B13" s="446" t="s">
        <v>600</v>
      </c>
      <c r="C13" s="437" t="s">
        <v>601</v>
      </c>
      <c r="D13" s="728"/>
      <c r="E13" s="729"/>
      <c r="F13" s="729"/>
      <c r="G13" s="729"/>
      <c r="H13" s="729"/>
      <c r="I13" s="729"/>
      <c r="J13" s="445"/>
      <c r="K13" s="447"/>
      <c r="M13" s="449"/>
      <c r="N13" s="447"/>
      <c r="P13" s="449"/>
      <c r="Q13" s="447"/>
      <c r="S13" s="449"/>
      <c r="T13" s="447"/>
      <c r="V13" s="449"/>
    </row>
    <row r="14" spans="1:10" ht="16.5">
      <c r="A14" s="454"/>
      <c r="B14" s="455"/>
      <c r="C14" s="430"/>
      <c r="D14" s="454"/>
      <c r="E14" s="431"/>
      <c r="F14" s="431"/>
      <c r="G14" s="431"/>
      <c r="H14" s="431"/>
      <c r="I14" s="431"/>
      <c r="J14" s="431"/>
    </row>
    <row r="15" spans="1:10" ht="16.5">
      <c r="A15" s="454"/>
      <c r="B15" s="455"/>
      <c r="C15" s="430"/>
      <c r="D15" s="454"/>
      <c r="E15" s="431"/>
      <c r="F15" s="431"/>
      <c r="G15" s="431"/>
      <c r="H15" s="431"/>
      <c r="I15" s="431"/>
      <c r="J15" s="431"/>
    </row>
    <row r="16" spans="1:10" ht="16.5">
      <c r="A16" s="454"/>
      <c r="B16" s="455"/>
      <c r="C16" s="430"/>
      <c r="D16" s="731">
        <f>15000000000/21300/1000000000</f>
        <v>0.000704225352112676</v>
      </c>
      <c r="E16" s="732">
        <f>+D16+D16*10%</f>
        <v>0.0007746478873239435</v>
      </c>
      <c r="F16" s="732">
        <f>+E16+E16*0.1</f>
        <v>0.0008521126760563379</v>
      </c>
      <c r="G16" s="732">
        <f>+F16+F16*0.1</f>
        <v>0.0009373239436619717</v>
      </c>
      <c r="H16" s="732">
        <f>+G16+G16*0.1</f>
        <v>0.0010310563380281689</v>
      </c>
      <c r="I16" s="733">
        <f>+H16+G16+F16+E16+D16</f>
        <v>0.004299366197183098</v>
      </c>
      <c r="J16" s="431"/>
    </row>
    <row r="17" spans="1:10" ht="16.5">
      <c r="A17" s="454"/>
      <c r="B17" s="455"/>
      <c r="C17" s="430"/>
      <c r="D17" s="935">
        <f aca="true" t="shared" si="0" ref="D17:I17">D16*21000</f>
        <v>14.788732394366196</v>
      </c>
      <c r="E17" s="935">
        <f t="shared" si="0"/>
        <v>16.267605633802816</v>
      </c>
      <c r="F17" s="935">
        <f t="shared" si="0"/>
        <v>17.894366197183096</v>
      </c>
      <c r="G17" s="935">
        <f t="shared" si="0"/>
        <v>19.683802816901405</v>
      </c>
      <c r="H17" s="935">
        <f t="shared" si="0"/>
        <v>21.652183098591546</v>
      </c>
      <c r="I17" s="935">
        <f t="shared" si="0"/>
        <v>90.28669014084505</v>
      </c>
      <c r="J17" s="431"/>
    </row>
    <row r="18" spans="1:10" ht="16.5">
      <c r="A18" s="454"/>
      <c r="B18" s="455"/>
      <c r="C18" s="430"/>
      <c r="D18" s="454"/>
      <c r="E18" s="431"/>
      <c r="F18" s="431"/>
      <c r="G18" s="431"/>
      <c r="H18" s="431"/>
      <c r="I18" s="431"/>
      <c r="J18" s="431"/>
    </row>
    <row r="19" spans="1:22" ht="16.5">
      <c r="A19" s="454"/>
      <c r="B19" s="458"/>
      <c r="C19" s="430"/>
      <c r="D19" s="454"/>
      <c r="E19" s="526"/>
      <c r="F19" s="431"/>
      <c r="G19" s="431"/>
      <c r="H19" s="431"/>
      <c r="I19" s="431"/>
      <c r="J19" s="431"/>
      <c r="K19" s="447"/>
      <c r="M19" s="449"/>
      <c r="N19" s="447"/>
      <c r="P19" s="449"/>
      <c r="Q19" s="447"/>
      <c r="S19" s="449"/>
      <c r="T19" s="447"/>
      <c r="V19" s="449"/>
    </row>
    <row r="20" spans="1:10" ht="16.5">
      <c r="A20" s="454"/>
      <c r="B20" s="455"/>
      <c r="C20" s="430"/>
      <c r="D20" s="454"/>
      <c r="E20" s="431"/>
      <c r="F20" s="431"/>
      <c r="G20" s="431"/>
      <c r="H20" s="431"/>
      <c r="I20" s="431"/>
      <c r="J20" s="431"/>
    </row>
    <row r="21" spans="1:10" ht="12.75" customHeight="1">
      <c r="A21" s="454"/>
      <c r="B21" s="455"/>
      <c r="C21" s="430"/>
      <c r="D21" s="454"/>
      <c r="E21" s="431"/>
      <c r="F21" s="431"/>
      <c r="G21" s="431"/>
      <c r="H21" s="431"/>
      <c r="I21" s="431"/>
      <c r="J21" s="431"/>
    </row>
    <row r="22" spans="1:10" ht="16.5">
      <c r="A22" s="454"/>
      <c r="B22" s="455"/>
      <c r="C22" s="430"/>
      <c r="D22" s="454"/>
      <c r="E22" s="431"/>
      <c r="F22" s="431"/>
      <c r="G22" s="431"/>
      <c r="H22" s="431"/>
      <c r="I22" s="431"/>
      <c r="J22" s="431"/>
    </row>
    <row r="23" spans="1:10" ht="16.5">
      <c r="A23" s="454"/>
      <c r="B23" s="455"/>
      <c r="C23" s="430"/>
      <c r="D23" s="454"/>
      <c r="E23" s="431"/>
      <c r="F23" s="431"/>
      <c r="G23" s="431"/>
      <c r="H23" s="431"/>
      <c r="I23" s="431"/>
      <c r="J23" s="431"/>
    </row>
    <row r="24" spans="1:10" ht="16.5">
      <c r="A24" s="454"/>
      <c r="B24" s="455"/>
      <c r="C24" s="430"/>
      <c r="D24" s="454"/>
      <c r="E24" s="431"/>
      <c r="F24" s="431"/>
      <c r="G24" s="431"/>
      <c r="H24" s="431"/>
      <c r="I24" s="431"/>
      <c r="J24" s="431"/>
    </row>
    <row r="25" spans="1:10" ht="16.5">
      <c r="A25" s="454"/>
      <c r="B25" s="455"/>
      <c r="C25" s="430"/>
      <c r="D25" s="454"/>
      <c r="E25" s="431"/>
      <c r="F25" s="431"/>
      <c r="G25" s="431"/>
      <c r="H25" s="431"/>
      <c r="I25" s="431"/>
      <c r="J25" s="431"/>
    </row>
    <row r="26" spans="1:10" ht="16.5">
      <c r="A26" s="454"/>
      <c r="B26" s="455"/>
      <c r="C26" s="430"/>
      <c r="D26" s="454"/>
      <c r="E26" s="431"/>
      <c r="F26" s="431"/>
      <c r="G26" s="431"/>
      <c r="H26" s="431"/>
      <c r="I26" s="431"/>
      <c r="J26" s="431"/>
    </row>
    <row r="27" spans="1:10" ht="16.5">
      <c r="A27" s="454"/>
      <c r="B27" s="455"/>
      <c r="C27" s="430"/>
      <c r="D27" s="454"/>
      <c r="E27" s="431"/>
      <c r="F27" s="431"/>
      <c r="G27" s="431"/>
      <c r="H27" s="431"/>
      <c r="I27" s="431"/>
      <c r="J27" s="431"/>
    </row>
    <row r="28" spans="1:10" ht="16.5">
      <c r="A28" s="454"/>
      <c r="B28" s="455"/>
      <c r="C28" s="430"/>
      <c r="D28" s="454"/>
      <c r="E28" s="431"/>
      <c r="F28" s="431"/>
      <c r="G28" s="431"/>
      <c r="H28" s="431"/>
      <c r="I28" s="431"/>
      <c r="J28" s="431"/>
    </row>
    <row r="29" spans="1:10" ht="16.5">
      <c r="A29" s="454"/>
      <c r="B29" s="455"/>
      <c r="C29" s="430"/>
      <c r="D29" s="454"/>
      <c r="E29" s="431"/>
      <c r="F29" s="431"/>
      <c r="G29" s="431"/>
      <c r="H29" s="431"/>
      <c r="I29" s="431"/>
      <c r="J29" s="431"/>
    </row>
    <row r="30" spans="1:10" ht="16.5">
      <c r="A30" s="454"/>
      <c r="B30" s="455"/>
      <c r="C30" s="430"/>
      <c r="D30" s="454"/>
      <c r="E30" s="431"/>
      <c r="F30" s="431"/>
      <c r="G30" s="431"/>
      <c r="H30" s="431"/>
      <c r="I30" s="431"/>
      <c r="J30" s="431"/>
    </row>
    <row r="31" spans="1:10" ht="16.5">
      <c r="A31" s="454"/>
      <c r="B31" s="455"/>
      <c r="C31" s="430"/>
      <c r="D31" s="454"/>
      <c r="E31" s="431"/>
      <c r="F31" s="431"/>
      <c r="G31" s="431"/>
      <c r="H31" s="431"/>
      <c r="I31" s="431"/>
      <c r="J31" s="431"/>
    </row>
    <row r="32" spans="1:10" ht="16.5">
      <c r="A32" s="454"/>
      <c r="B32" s="455"/>
      <c r="C32" s="430"/>
      <c r="D32" s="454"/>
      <c r="E32" s="431"/>
      <c r="F32" s="431"/>
      <c r="G32" s="431"/>
      <c r="H32" s="431"/>
      <c r="I32" s="431"/>
      <c r="J32" s="431"/>
    </row>
    <row r="33" spans="1:10" ht="16.5">
      <c r="A33" s="454"/>
      <c r="B33" s="455"/>
      <c r="C33" s="430"/>
      <c r="D33" s="454"/>
      <c r="E33" s="431"/>
      <c r="F33" s="431"/>
      <c r="G33" s="431"/>
      <c r="H33" s="431"/>
      <c r="I33" s="431"/>
      <c r="J33" s="431"/>
    </row>
    <row r="34" spans="1:10" ht="16.5">
      <c r="A34" s="454"/>
      <c r="B34" s="455"/>
      <c r="C34" s="430"/>
      <c r="D34" s="454"/>
      <c r="E34" s="431"/>
      <c r="F34" s="431"/>
      <c r="G34" s="431"/>
      <c r="H34" s="431"/>
      <c r="I34" s="431"/>
      <c r="J34" s="431"/>
    </row>
    <row r="35" spans="1:10" ht="16.5">
      <c r="A35" s="454"/>
      <c r="B35" s="455"/>
      <c r="C35" s="430"/>
      <c r="D35" s="454"/>
      <c r="E35" s="431"/>
      <c r="F35" s="431"/>
      <c r="G35" s="431"/>
      <c r="H35" s="431"/>
      <c r="I35" s="431"/>
      <c r="J35" s="431"/>
    </row>
    <row r="36" spans="1:10" ht="16.5">
      <c r="A36" s="454"/>
      <c r="B36" s="455"/>
      <c r="C36" s="430"/>
      <c r="D36" s="454"/>
      <c r="E36" s="431"/>
      <c r="F36" s="431"/>
      <c r="G36" s="431"/>
      <c r="H36" s="431"/>
      <c r="I36" s="431"/>
      <c r="J36" s="431"/>
    </row>
    <row r="37" spans="1:10" ht="16.5">
      <c r="A37" s="454"/>
      <c r="B37" s="455"/>
      <c r="C37" s="430"/>
      <c r="D37" s="454"/>
      <c r="E37" s="431"/>
      <c r="F37" s="431"/>
      <c r="G37" s="431"/>
      <c r="H37" s="431"/>
      <c r="I37" s="431"/>
      <c r="J37" s="431"/>
    </row>
    <row r="38" spans="1:10" ht="16.5">
      <c r="A38" s="454"/>
      <c r="B38" s="455"/>
      <c r="C38" s="430"/>
      <c r="D38" s="454"/>
      <c r="E38" s="431"/>
      <c r="F38" s="431"/>
      <c r="G38" s="431"/>
      <c r="H38" s="431"/>
      <c r="I38" s="431"/>
      <c r="J38" s="431"/>
    </row>
    <row r="39" spans="1:10" ht="16.5">
      <c r="A39" s="454"/>
      <c r="B39" s="455"/>
      <c r="C39" s="430"/>
      <c r="D39" s="454"/>
      <c r="E39" s="431"/>
      <c r="F39" s="431"/>
      <c r="G39" s="431"/>
      <c r="H39" s="431"/>
      <c r="I39" s="431"/>
      <c r="J39" s="431"/>
    </row>
    <row r="40" spans="1:10" ht="16.5">
      <c r="A40" s="454"/>
      <c r="B40" s="455"/>
      <c r="C40" s="430"/>
      <c r="D40" s="454"/>
      <c r="E40" s="431"/>
      <c r="F40" s="431"/>
      <c r="G40" s="431"/>
      <c r="H40" s="431"/>
      <c r="I40" s="431"/>
      <c r="J40" s="431"/>
    </row>
    <row r="41" spans="1:10" ht="16.5">
      <c r="A41" s="454"/>
      <c r="B41" s="455"/>
      <c r="C41" s="430"/>
      <c r="D41" s="454"/>
      <c r="E41" s="431"/>
      <c r="F41" s="431"/>
      <c r="G41" s="431"/>
      <c r="H41" s="431"/>
      <c r="I41" s="431"/>
      <c r="J41" s="431"/>
    </row>
    <row r="42" spans="1:10" ht="16.5">
      <c r="A42" s="454"/>
      <c r="B42" s="455"/>
      <c r="C42" s="430"/>
      <c r="D42" s="454"/>
      <c r="E42" s="431"/>
      <c r="F42" s="431"/>
      <c r="G42" s="431"/>
      <c r="H42" s="431"/>
      <c r="I42" s="431"/>
      <c r="J42" s="431"/>
    </row>
    <row r="43" spans="1:10" ht="16.5">
      <c r="A43" s="454"/>
      <c r="B43" s="455"/>
      <c r="C43" s="430"/>
      <c r="D43" s="454"/>
      <c r="E43" s="431"/>
      <c r="F43" s="431"/>
      <c r="G43" s="431"/>
      <c r="H43" s="431"/>
      <c r="I43" s="431"/>
      <c r="J43" s="431"/>
    </row>
    <row r="44" spans="1:10" ht="16.5">
      <c r="A44" s="454"/>
      <c r="B44" s="455"/>
      <c r="C44" s="430"/>
      <c r="D44" s="454"/>
      <c r="E44" s="431"/>
      <c r="F44" s="431"/>
      <c r="G44" s="431"/>
      <c r="H44" s="431"/>
      <c r="I44" s="431"/>
      <c r="J44" s="431"/>
    </row>
    <row r="45" spans="1:10" ht="16.5">
      <c r="A45" s="454"/>
      <c r="B45" s="455"/>
      <c r="C45" s="430"/>
      <c r="D45" s="454"/>
      <c r="E45" s="431"/>
      <c r="F45" s="431"/>
      <c r="G45" s="431"/>
      <c r="H45" s="431"/>
      <c r="I45" s="431"/>
      <c r="J45" s="431"/>
    </row>
    <row r="46" spans="1:10" ht="16.5">
      <c r="A46" s="454"/>
      <c r="B46" s="455"/>
      <c r="C46" s="430"/>
      <c r="D46" s="454"/>
      <c r="E46" s="431"/>
      <c r="F46" s="431"/>
      <c r="G46" s="431"/>
      <c r="H46" s="431"/>
      <c r="I46" s="431"/>
      <c r="J46" s="431"/>
    </row>
    <row r="47" spans="1:10" ht="16.5">
      <c r="A47" s="454"/>
      <c r="B47" s="455"/>
      <c r="C47" s="430"/>
      <c r="D47" s="454"/>
      <c r="E47" s="431"/>
      <c r="F47" s="431"/>
      <c r="G47" s="431"/>
      <c r="H47" s="431"/>
      <c r="I47" s="431"/>
      <c r="J47" s="431"/>
    </row>
    <row r="48" spans="1:10" ht="16.5">
      <c r="A48" s="454"/>
      <c r="B48" s="455"/>
      <c r="C48" s="430"/>
      <c r="D48" s="454"/>
      <c r="E48" s="431"/>
      <c r="F48" s="431"/>
      <c r="G48" s="431"/>
      <c r="H48" s="431"/>
      <c r="I48" s="431"/>
      <c r="J48" s="431"/>
    </row>
    <row r="49" spans="1:10" ht="16.5">
      <c r="A49" s="454"/>
      <c r="B49" s="455"/>
      <c r="C49" s="430"/>
      <c r="D49" s="454"/>
      <c r="E49" s="431"/>
      <c r="F49" s="431"/>
      <c r="G49" s="431"/>
      <c r="H49" s="431"/>
      <c r="I49" s="431"/>
      <c r="J49" s="431"/>
    </row>
    <row r="50" spans="1:10" ht="16.5">
      <c r="A50" s="454"/>
      <c r="B50" s="455"/>
      <c r="C50" s="430"/>
      <c r="D50" s="454"/>
      <c r="E50" s="431"/>
      <c r="F50" s="431"/>
      <c r="G50" s="431"/>
      <c r="H50" s="431"/>
      <c r="I50" s="431"/>
      <c r="J50" s="431"/>
    </row>
    <row r="51" spans="1:10" ht="16.5">
      <c r="A51" s="454"/>
      <c r="B51" s="455"/>
      <c r="C51" s="430"/>
      <c r="D51" s="454"/>
      <c r="E51" s="431"/>
      <c r="F51" s="431"/>
      <c r="G51" s="431"/>
      <c r="H51" s="431"/>
      <c r="I51" s="431"/>
      <c r="J51" s="431"/>
    </row>
    <row r="52" spans="1:10" ht="16.5">
      <c r="A52" s="454"/>
      <c r="B52" s="455"/>
      <c r="C52" s="430"/>
      <c r="D52" s="454"/>
      <c r="E52" s="431"/>
      <c r="F52" s="431"/>
      <c r="G52" s="431"/>
      <c r="H52" s="431"/>
      <c r="I52" s="431"/>
      <c r="J52" s="431"/>
    </row>
    <row r="53" spans="1:10" ht="16.5">
      <c r="A53" s="454"/>
      <c r="B53" s="455"/>
      <c r="C53" s="430"/>
      <c r="D53" s="454"/>
      <c r="E53" s="431"/>
      <c r="F53" s="431"/>
      <c r="G53" s="431"/>
      <c r="H53" s="431"/>
      <c r="I53" s="431"/>
      <c r="J53" s="431"/>
    </row>
    <row r="54" spans="1:10" ht="16.5">
      <c r="A54" s="454"/>
      <c r="B54" s="455"/>
      <c r="C54" s="430"/>
      <c r="D54" s="454"/>
      <c r="E54" s="431"/>
      <c r="F54" s="431"/>
      <c r="G54" s="431"/>
      <c r="H54" s="431"/>
      <c r="I54" s="431"/>
      <c r="J54" s="431"/>
    </row>
    <row r="55" spans="1:10" ht="16.5">
      <c r="A55" s="454"/>
      <c r="B55" s="455"/>
      <c r="C55" s="430"/>
      <c r="D55" s="454"/>
      <c r="E55" s="431"/>
      <c r="F55" s="431"/>
      <c r="G55" s="431"/>
      <c r="H55" s="431"/>
      <c r="I55" s="431"/>
      <c r="J55" s="431"/>
    </row>
    <row r="56" spans="1:10" ht="16.5">
      <c r="A56" s="454"/>
      <c r="B56" s="455"/>
      <c r="C56" s="430"/>
      <c r="D56" s="454"/>
      <c r="E56" s="431"/>
      <c r="F56" s="431"/>
      <c r="G56" s="431"/>
      <c r="H56" s="431"/>
      <c r="I56" s="431"/>
      <c r="J56" s="431"/>
    </row>
    <row r="57" spans="1:10" ht="16.5">
      <c r="A57" s="454"/>
      <c r="B57" s="455"/>
      <c r="C57" s="430"/>
      <c r="D57" s="454"/>
      <c r="E57" s="431"/>
      <c r="F57" s="431"/>
      <c r="G57" s="431"/>
      <c r="H57" s="431"/>
      <c r="I57" s="431"/>
      <c r="J57" s="431"/>
    </row>
    <row r="58" spans="1:10" ht="16.5">
      <c r="A58" s="454"/>
      <c r="B58" s="455"/>
      <c r="C58" s="430"/>
      <c r="D58" s="454"/>
      <c r="E58" s="431"/>
      <c r="F58" s="431"/>
      <c r="G58" s="431"/>
      <c r="H58" s="431"/>
      <c r="I58" s="431"/>
      <c r="J58" s="431"/>
    </row>
    <row r="59" spans="1:10" ht="16.5">
      <c r="A59" s="454"/>
      <c r="B59" s="455"/>
      <c r="C59" s="430"/>
      <c r="D59" s="454"/>
      <c r="E59" s="431"/>
      <c r="F59" s="431"/>
      <c r="G59" s="431"/>
      <c r="H59" s="431"/>
      <c r="I59" s="431"/>
      <c r="J59" s="431"/>
    </row>
    <row r="60" spans="1:10" ht="16.5">
      <c r="A60" s="454"/>
      <c r="B60" s="455"/>
      <c r="C60" s="430"/>
      <c r="D60" s="454"/>
      <c r="E60" s="431"/>
      <c r="F60" s="431"/>
      <c r="G60" s="431"/>
      <c r="H60" s="431"/>
      <c r="I60" s="431"/>
      <c r="J60" s="431"/>
    </row>
    <row r="61" spans="1:10" ht="16.5">
      <c r="A61" s="454"/>
      <c r="B61" s="455"/>
      <c r="C61" s="430"/>
      <c r="D61" s="454"/>
      <c r="E61" s="431"/>
      <c r="F61" s="431"/>
      <c r="G61" s="431"/>
      <c r="H61" s="431"/>
      <c r="I61" s="431"/>
      <c r="J61" s="431"/>
    </row>
    <row r="62" spans="1:10" ht="16.5">
      <c r="A62" s="454"/>
      <c r="B62" s="455"/>
      <c r="C62" s="430"/>
      <c r="D62" s="454"/>
      <c r="E62" s="431"/>
      <c r="F62" s="431"/>
      <c r="G62" s="431"/>
      <c r="H62" s="431"/>
      <c r="I62" s="431"/>
      <c r="J62" s="431"/>
    </row>
    <row r="63" spans="1:10" ht="16.5">
      <c r="A63" s="454"/>
      <c r="B63" s="455"/>
      <c r="C63" s="430"/>
      <c r="D63" s="454"/>
      <c r="E63" s="431"/>
      <c r="F63" s="431"/>
      <c r="G63" s="431"/>
      <c r="H63" s="431"/>
      <c r="I63" s="431"/>
      <c r="J63" s="431"/>
    </row>
    <row r="64" spans="1:10" ht="16.5">
      <c r="A64" s="454"/>
      <c r="B64" s="455"/>
      <c r="C64" s="430"/>
      <c r="D64" s="454"/>
      <c r="E64" s="431"/>
      <c r="F64" s="431"/>
      <c r="G64" s="431"/>
      <c r="H64" s="431"/>
      <c r="I64" s="431"/>
      <c r="J64" s="431"/>
    </row>
    <row r="65" spans="1:10" ht="16.5">
      <c r="A65" s="454"/>
      <c r="B65" s="455"/>
      <c r="C65" s="430"/>
      <c r="D65" s="454"/>
      <c r="E65" s="431"/>
      <c r="F65" s="431"/>
      <c r="G65" s="431"/>
      <c r="H65" s="431"/>
      <c r="I65" s="431"/>
      <c r="J65" s="431"/>
    </row>
    <row r="66" spans="1:10" ht="16.5">
      <c r="A66" s="454"/>
      <c r="B66" s="455"/>
      <c r="C66" s="430"/>
      <c r="D66" s="454"/>
      <c r="E66" s="431"/>
      <c r="F66" s="431"/>
      <c r="G66" s="431"/>
      <c r="H66" s="431"/>
      <c r="I66" s="431"/>
      <c r="J66" s="431"/>
    </row>
    <row r="67" spans="1:10" ht="16.5">
      <c r="A67" s="454"/>
      <c r="B67" s="455"/>
      <c r="C67" s="430"/>
      <c r="D67" s="454"/>
      <c r="E67" s="431"/>
      <c r="F67" s="431"/>
      <c r="G67" s="431"/>
      <c r="H67" s="431"/>
      <c r="I67" s="431"/>
      <c r="J67" s="431"/>
    </row>
    <row r="68" spans="1:10" ht="16.5">
      <c r="A68" s="454"/>
      <c r="B68" s="455"/>
      <c r="C68" s="430"/>
      <c r="D68" s="454"/>
      <c r="E68" s="431"/>
      <c r="F68" s="431"/>
      <c r="G68" s="431"/>
      <c r="H68" s="431"/>
      <c r="I68" s="431"/>
      <c r="J68" s="431"/>
    </row>
    <row r="69" spans="1:10" ht="16.5">
      <c r="A69" s="454"/>
      <c r="B69" s="455"/>
      <c r="C69" s="430"/>
      <c r="D69" s="454"/>
      <c r="E69" s="431"/>
      <c r="F69" s="431"/>
      <c r="G69" s="431"/>
      <c r="H69" s="431"/>
      <c r="I69" s="431"/>
      <c r="J69" s="431"/>
    </row>
    <row r="70" spans="1:10" ht="16.5">
      <c r="A70" s="454"/>
      <c r="B70" s="455"/>
      <c r="C70" s="430"/>
      <c r="D70" s="454"/>
      <c r="E70" s="431"/>
      <c r="F70" s="431"/>
      <c r="G70" s="431"/>
      <c r="H70" s="431"/>
      <c r="I70" s="431"/>
      <c r="J70" s="431"/>
    </row>
    <row r="71" spans="1:10" ht="16.5">
      <c r="A71" s="454"/>
      <c r="B71" s="455"/>
      <c r="C71" s="430"/>
      <c r="D71" s="454"/>
      <c r="E71" s="431"/>
      <c r="F71" s="431"/>
      <c r="G71" s="431"/>
      <c r="H71" s="431"/>
      <c r="I71" s="431"/>
      <c r="J71" s="431"/>
    </row>
    <row r="72" spans="1:10" ht="16.5">
      <c r="A72" s="454"/>
      <c r="B72" s="455"/>
      <c r="C72" s="430"/>
      <c r="D72" s="454"/>
      <c r="E72" s="431"/>
      <c r="F72" s="431"/>
      <c r="G72" s="431"/>
      <c r="H72" s="431"/>
      <c r="I72" s="431"/>
      <c r="J72" s="431"/>
    </row>
    <row r="73" spans="1:10" ht="16.5">
      <c r="A73" s="454"/>
      <c r="B73" s="455"/>
      <c r="C73" s="430"/>
      <c r="D73" s="454"/>
      <c r="E73" s="431"/>
      <c r="F73" s="431"/>
      <c r="G73" s="431"/>
      <c r="H73" s="431"/>
      <c r="I73" s="431"/>
      <c r="J73" s="431"/>
    </row>
    <row r="74" spans="1:10" ht="16.5">
      <c r="A74" s="454"/>
      <c r="B74" s="455"/>
      <c r="C74" s="430"/>
      <c r="D74" s="454"/>
      <c r="E74" s="431"/>
      <c r="F74" s="431"/>
      <c r="G74" s="431"/>
      <c r="H74" s="431"/>
      <c r="I74" s="431"/>
      <c r="J74" s="431"/>
    </row>
    <row r="75" spans="1:10" ht="16.5">
      <c r="A75" s="454"/>
      <c r="B75" s="455"/>
      <c r="C75" s="430"/>
      <c r="D75" s="454"/>
      <c r="E75" s="431"/>
      <c r="F75" s="431"/>
      <c r="G75" s="431"/>
      <c r="H75" s="431"/>
      <c r="I75" s="431"/>
      <c r="J75" s="431"/>
    </row>
    <row r="76" spans="1:10" ht="16.5">
      <c r="A76" s="454"/>
      <c r="B76" s="455"/>
      <c r="C76" s="430"/>
      <c r="D76" s="454"/>
      <c r="E76" s="431"/>
      <c r="F76" s="431"/>
      <c r="G76" s="431"/>
      <c r="H76" s="431"/>
      <c r="I76" s="431"/>
      <c r="J76" s="431"/>
    </row>
    <row r="77" spans="1:10" ht="16.5">
      <c r="A77" s="454"/>
      <c r="B77" s="455"/>
      <c r="C77" s="430"/>
      <c r="D77" s="454"/>
      <c r="E77" s="431"/>
      <c r="F77" s="431"/>
      <c r="G77" s="431"/>
      <c r="H77" s="431"/>
      <c r="I77" s="431"/>
      <c r="J77" s="431"/>
    </row>
    <row r="78" spans="1:10" ht="16.5">
      <c r="A78" s="454"/>
      <c r="B78" s="455"/>
      <c r="C78" s="430"/>
      <c r="D78" s="454"/>
      <c r="E78" s="431"/>
      <c r="F78" s="431"/>
      <c r="G78" s="431"/>
      <c r="H78" s="431"/>
      <c r="I78" s="431"/>
      <c r="J78" s="431"/>
    </row>
    <row r="79" spans="1:10" ht="16.5">
      <c r="A79" s="454"/>
      <c r="B79" s="455"/>
      <c r="C79" s="430"/>
      <c r="D79" s="454"/>
      <c r="E79" s="431"/>
      <c r="F79" s="431"/>
      <c r="G79" s="431"/>
      <c r="H79" s="431"/>
      <c r="I79" s="431"/>
      <c r="J79" s="431"/>
    </row>
    <row r="80" spans="1:10" ht="16.5">
      <c r="A80" s="454"/>
      <c r="B80" s="455"/>
      <c r="C80" s="430"/>
      <c r="D80" s="454"/>
      <c r="E80" s="431"/>
      <c r="F80" s="431"/>
      <c r="G80" s="431"/>
      <c r="H80" s="431"/>
      <c r="I80" s="431"/>
      <c r="J80" s="431"/>
    </row>
    <row r="81" spans="1:10" ht="16.5">
      <c r="A81" s="454"/>
      <c r="B81" s="455"/>
      <c r="C81" s="430"/>
      <c r="D81" s="454"/>
      <c r="E81" s="431"/>
      <c r="F81" s="431"/>
      <c r="G81" s="431"/>
      <c r="H81" s="431"/>
      <c r="I81" s="431"/>
      <c r="J81" s="431"/>
    </row>
    <row r="82" spans="1:10" ht="16.5">
      <c r="A82" s="454"/>
      <c r="B82" s="455"/>
      <c r="C82" s="430"/>
      <c r="D82" s="454"/>
      <c r="E82" s="431"/>
      <c r="F82" s="431"/>
      <c r="G82" s="431"/>
      <c r="H82" s="431"/>
      <c r="I82" s="431"/>
      <c r="J82" s="431"/>
    </row>
    <row r="83" spans="1:10" ht="16.5">
      <c r="A83" s="454"/>
      <c r="B83" s="455"/>
      <c r="C83" s="430"/>
      <c r="D83" s="454"/>
      <c r="E83" s="431"/>
      <c r="F83" s="431"/>
      <c r="G83" s="431"/>
      <c r="H83" s="431"/>
      <c r="I83" s="431"/>
      <c r="J83" s="431"/>
    </row>
    <row r="84" spans="1:10" ht="16.5">
      <c r="A84" s="454"/>
      <c r="B84" s="455"/>
      <c r="C84" s="430"/>
      <c r="D84" s="454"/>
      <c r="E84" s="431"/>
      <c r="F84" s="431"/>
      <c r="G84" s="431"/>
      <c r="H84" s="431"/>
      <c r="I84" s="431"/>
      <c r="J84" s="431"/>
    </row>
    <row r="85" spans="1:10" ht="16.5">
      <c r="A85" s="454"/>
      <c r="B85" s="455"/>
      <c r="C85" s="430"/>
      <c r="D85" s="454"/>
      <c r="E85" s="431"/>
      <c r="F85" s="431"/>
      <c r="G85" s="431"/>
      <c r="H85" s="431"/>
      <c r="I85" s="431"/>
      <c r="J85" s="431"/>
    </row>
    <row r="86" spans="1:10" ht="16.5">
      <c r="A86" s="454"/>
      <c r="B86" s="455"/>
      <c r="C86" s="430"/>
      <c r="D86" s="454"/>
      <c r="E86" s="431"/>
      <c r="F86" s="431"/>
      <c r="G86" s="431"/>
      <c r="H86" s="431"/>
      <c r="I86" s="431"/>
      <c r="J86" s="431"/>
    </row>
    <row r="87" spans="1:10" ht="16.5">
      <c r="A87" s="454"/>
      <c r="B87" s="455"/>
      <c r="C87" s="430"/>
      <c r="D87" s="454"/>
      <c r="E87" s="431"/>
      <c r="F87" s="431"/>
      <c r="G87" s="431"/>
      <c r="H87" s="431"/>
      <c r="I87" s="431"/>
      <c r="J87" s="431"/>
    </row>
    <row r="88" spans="1:10" ht="16.5">
      <c r="A88" s="454"/>
      <c r="B88" s="455"/>
      <c r="C88" s="430"/>
      <c r="D88" s="454"/>
      <c r="E88" s="431"/>
      <c r="F88" s="431"/>
      <c r="G88" s="431"/>
      <c r="H88" s="431"/>
      <c r="I88" s="431"/>
      <c r="J88" s="431"/>
    </row>
    <row r="89" spans="1:10" ht="16.5">
      <c r="A89" s="454"/>
      <c r="B89" s="455"/>
      <c r="C89" s="430"/>
      <c r="D89" s="454"/>
      <c r="E89" s="431"/>
      <c r="F89" s="431"/>
      <c r="G89" s="431"/>
      <c r="H89" s="431"/>
      <c r="I89" s="431"/>
      <c r="J89" s="431"/>
    </row>
    <row r="90" spans="1:10" ht="16.5">
      <c r="A90" s="454"/>
      <c r="B90" s="455"/>
      <c r="C90" s="430"/>
      <c r="D90" s="454"/>
      <c r="E90" s="431"/>
      <c r="F90" s="431"/>
      <c r="G90" s="431"/>
      <c r="H90" s="431"/>
      <c r="I90" s="431"/>
      <c r="J90" s="431"/>
    </row>
    <row r="91" spans="1:10" ht="16.5">
      <c r="A91" s="454"/>
      <c r="B91" s="455"/>
      <c r="C91" s="430"/>
      <c r="D91" s="454"/>
      <c r="E91" s="431"/>
      <c r="F91" s="431"/>
      <c r="G91" s="431"/>
      <c r="H91" s="431"/>
      <c r="I91" s="431"/>
      <c r="J91" s="431"/>
    </row>
    <row r="92" spans="1:10" ht="16.5">
      <c r="A92" s="454"/>
      <c r="B92" s="455"/>
      <c r="C92" s="430"/>
      <c r="D92" s="454"/>
      <c r="E92" s="431"/>
      <c r="F92" s="431"/>
      <c r="G92" s="431"/>
      <c r="H92" s="431"/>
      <c r="I92" s="431"/>
      <c r="J92" s="431"/>
    </row>
    <row r="93" spans="1:10" ht="16.5">
      <c r="A93" s="454"/>
      <c r="B93" s="455"/>
      <c r="C93" s="430"/>
      <c r="D93" s="454"/>
      <c r="E93" s="431"/>
      <c r="F93" s="431"/>
      <c r="G93" s="431"/>
      <c r="H93" s="431"/>
      <c r="I93" s="431"/>
      <c r="J93" s="431"/>
    </row>
    <row r="94" spans="1:10" ht="16.5">
      <c r="A94" s="454"/>
      <c r="B94" s="455"/>
      <c r="C94" s="430"/>
      <c r="D94" s="454"/>
      <c r="E94" s="431"/>
      <c r="F94" s="431"/>
      <c r="G94" s="431"/>
      <c r="H94" s="431"/>
      <c r="I94" s="431"/>
      <c r="J94" s="431"/>
    </row>
    <row r="95" spans="1:10" ht="16.5">
      <c r="A95" s="454"/>
      <c r="B95" s="455"/>
      <c r="C95" s="430"/>
      <c r="D95" s="454"/>
      <c r="E95" s="431"/>
      <c r="F95" s="431"/>
      <c r="G95" s="431"/>
      <c r="H95" s="431"/>
      <c r="I95" s="431"/>
      <c r="J95" s="431"/>
    </row>
    <row r="96" spans="1:10" ht="16.5">
      <c r="A96" s="454"/>
      <c r="B96" s="455"/>
      <c r="C96" s="430"/>
      <c r="D96" s="454"/>
      <c r="E96" s="431"/>
      <c r="F96" s="431"/>
      <c r="G96" s="431"/>
      <c r="H96" s="431"/>
      <c r="I96" s="431"/>
      <c r="J96" s="431"/>
    </row>
    <row r="97" spans="1:10" ht="16.5">
      <c r="A97" s="454"/>
      <c r="B97" s="455"/>
      <c r="C97" s="430"/>
      <c r="D97" s="454"/>
      <c r="E97" s="431"/>
      <c r="F97" s="431"/>
      <c r="G97" s="431"/>
      <c r="H97" s="431"/>
      <c r="I97" s="431"/>
      <c r="J97" s="431"/>
    </row>
    <row r="98" spans="1:10" ht="16.5">
      <c r="A98" s="454"/>
      <c r="B98" s="455"/>
      <c r="C98" s="430"/>
      <c r="D98" s="454"/>
      <c r="E98" s="431"/>
      <c r="F98" s="431"/>
      <c r="G98" s="431"/>
      <c r="H98" s="431"/>
      <c r="I98" s="431"/>
      <c r="J98" s="431"/>
    </row>
    <row r="99" spans="1:10" ht="16.5">
      <c r="A99" s="454"/>
      <c r="B99" s="455"/>
      <c r="C99" s="430"/>
      <c r="D99" s="454"/>
      <c r="E99" s="431"/>
      <c r="F99" s="431"/>
      <c r="G99" s="431"/>
      <c r="H99" s="431"/>
      <c r="I99" s="431"/>
      <c r="J99" s="431"/>
    </row>
    <row r="100" spans="1:10" ht="16.5">
      <c r="A100" s="454"/>
      <c r="B100" s="455"/>
      <c r="C100" s="430"/>
      <c r="D100" s="454"/>
      <c r="E100" s="431"/>
      <c r="F100" s="431"/>
      <c r="G100" s="431"/>
      <c r="H100" s="431"/>
      <c r="I100" s="431"/>
      <c r="J100" s="431"/>
    </row>
    <row r="101" spans="1:10" ht="16.5">
      <c r="A101" s="454"/>
      <c r="B101" s="455"/>
      <c r="C101" s="430"/>
      <c r="D101" s="454"/>
      <c r="E101" s="431"/>
      <c r="F101" s="431"/>
      <c r="G101" s="431"/>
      <c r="H101" s="431"/>
      <c r="I101" s="431"/>
      <c r="J101" s="431"/>
    </row>
    <row r="102" spans="1:10" ht="16.5">
      <c r="A102" s="454"/>
      <c r="B102" s="455"/>
      <c r="C102" s="430"/>
      <c r="D102" s="454"/>
      <c r="E102" s="431"/>
      <c r="F102" s="431"/>
      <c r="G102" s="431"/>
      <c r="H102" s="431"/>
      <c r="I102" s="431"/>
      <c r="J102" s="431"/>
    </row>
    <row r="103" spans="1:10" ht="16.5">
      <c r="A103" s="454"/>
      <c r="B103" s="455"/>
      <c r="C103" s="430"/>
      <c r="D103" s="454"/>
      <c r="E103" s="431"/>
      <c r="F103" s="431"/>
      <c r="G103" s="431"/>
      <c r="H103" s="431"/>
      <c r="I103" s="431"/>
      <c r="J103" s="431"/>
    </row>
    <row r="104" spans="1:10" ht="16.5">
      <c r="A104" s="454"/>
      <c r="B104" s="455"/>
      <c r="C104" s="430"/>
      <c r="D104" s="454"/>
      <c r="E104" s="431"/>
      <c r="F104" s="431"/>
      <c r="G104" s="431"/>
      <c r="H104" s="431"/>
      <c r="I104" s="431"/>
      <c r="J104" s="431"/>
    </row>
    <row r="105" spans="1:10" ht="16.5">
      <c r="A105" s="454"/>
      <c r="B105" s="455"/>
      <c r="C105" s="430"/>
      <c r="D105" s="454"/>
      <c r="E105" s="431"/>
      <c r="F105" s="431"/>
      <c r="G105" s="431"/>
      <c r="H105" s="431"/>
      <c r="I105" s="431"/>
      <c r="J105" s="431"/>
    </row>
    <row r="106" spans="1:10" ht="16.5">
      <c r="A106" s="454"/>
      <c r="B106" s="455"/>
      <c r="C106" s="430"/>
      <c r="D106" s="454"/>
      <c r="E106" s="431"/>
      <c r="F106" s="431"/>
      <c r="G106" s="431"/>
      <c r="H106" s="431"/>
      <c r="I106" s="431"/>
      <c r="J106" s="431"/>
    </row>
    <row r="107" spans="1:10" ht="16.5">
      <c r="A107" s="454"/>
      <c r="B107" s="455"/>
      <c r="C107" s="430"/>
      <c r="D107" s="454"/>
      <c r="E107" s="431"/>
      <c r="F107" s="431"/>
      <c r="G107" s="431"/>
      <c r="H107" s="431"/>
      <c r="I107" s="431"/>
      <c r="J107" s="431"/>
    </row>
    <row r="108" spans="1:10" ht="16.5">
      <c r="A108" s="454"/>
      <c r="B108" s="455"/>
      <c r="C108" s="430"/>
      <c r="D108" s="454"/>
      <c r="E108" s="431"/>
      <c r="F108" s="431"/>
      <c r="G108" s="431"/>
      <c r="H108" s="431"/>
      <c r="I108" s="431"/>
      <c r="J108" s="431"/>
    </row>
    <row r="109" spans="1:10" ht="16.5">
      <c r="A109" s="454"/>
      <c r="B109" s="455"/>
      <c r="C109" s="430"/>
      <c r="D109" s="454"/>
      <c r="E109" s="431"/>
      <c r="F109" s="431"/>
      <c r="G109" s="431"/>
      <c r="H109" s="431"/>
      <c r="I109" s="431"/>
      <c r="J109" s="431"/>
    </row>
    <row r="110" spans="1:10" ht="16.5">
      <c r="A110" s="454"/>
      <c r="B110" s="455"/>
      <c r="C110" s="430"/>
      <c r="D110" s="454"/>
      <c r="E110" s="431"/>
      <c r="F110" s="431"/>
      <c r="G110" s="431"/>
      <c r="H110" s="431"/>
      <c r="I110" s="431"/>
      <c r="J110" s="431"/>
    </row>
    <row r="111" spans="1:10" ht="16.5">
      <c r="A111" s="454"/>
      <c r="B111" s="455"/>
      <c r="C111" s="430"/>
      <c r="D111" s="454"/>
      <c r="E111" s="431"/>
      <c r="F111" s="431"/>
      <c r="G111" s="431"/>
      <c r="H111" s="431"/>
      <c r="I111" s="431"/>
      <c r="J111" s="431"/>
    </row>
    <row r="112" spans="1:10" ht="16.5">
      <c r="A112" s="454"/>
      <c r="B112" s="455"/>
      <c r="C112" s="430"/>
      <c r="D112" s="454"/>
      <c r="E112" s="431"/>
      <c r="F112" s="431"/>
      <c r="G112" s="431"/>
      <c r="H112" s="431"/>
      <c r="I112" s="431"/>
      <c r="J112" s="431"/>
    </row>
    <row r="113" spans="1:10" ht="16.5">
      <c r="A113" s="454"/>
      <c r="B113" s="455"/>
      <c r="C113" s="430"/>
      <c r="D113" s="454"/>
      <c r="E113" s="431"/>
      <c r="F113" s="431"/>
      <c r="G113" s="431"/>
      <c r="H113" s="431"/>
      <c r="I113" s="431"/>
      <c r="J113" s="431"/>
    </row>
    <row r="114" spans="1:10" ht="16.5">
      <c r="A114" s="454"/>
      <c r="B114" s="455"/>
      <c r="C114" s="430"/>
      <c r="D114" s="454"/>
      <c r="E114" s="431"/>
      <c r="F114" s="431"/>
      <c r="G114" s="431"/>
      <c r="H114" s="431"/>
      <c r="I114" s="431"/>
      <c r="J114" s="431"/>
    </row>
    <row r="115" spans="1:10" ht="16.5">
      <c r="A115" s="454"/>
      <c r="B115" s="455"/>
      <c r="C115" s="430"/>
      <c r="D115" s="454"/>
      <c r="E115" s="431"/>
      <c r="F115" s="431"/>
      <c r="G115" s="431"/>
      <c r="H115" s="431"/>
      <c r="I115" s="431"/>
      <c r="J115" s="431"/>
    </row>
    <row r="116" spans="1:10" ht="16.5">
      <c r="A116" s="454"/>
      <c r="B116" s="455"/>
      <c r="C116" s="430"/>
      <c r="D116" s="454"/>
      <c r="E116" s="431"/>
      <c r="F116" s="431"/>
      <c r="G116" s="431"/>
      <c r="H116" s="431"/>
      <c r="I116" s="431"/>
      <c r="J116" s="431"/>
    </row>
    <row r="117" spans="1:10" ht="16.5">
      <c r="A117" s="454"/>
      <c r="B117" s="455"/>
      <c r="C117" s="430"/>
      <c r="D117" s="454"/>
      <c r="E117" s="431"/>
      <c r="F117" s="431"/>
      <c r="G117" s="431"/>
      <c r="H117" s="431"/>
      <c r="I117" s="431"/>
      <c r="J117" s="431"/>
    </row>
    <row r="118" spans="1:10" ht="16.5">
      <c r="A118" s="454"/>
      <c r="B118" s="455"/>
      <c r="C118" s="430"/>
      <c r="D118" s="454"/>
      <c r="E118" s="431"/>
      <c r="F118" s="431"/>
      <c r="G118" s="431"/>
      <c r="H118" s="431"/>
      <c r="I118" s="431"/>
      <c r="J118" s="431"/>
    </row>
    <row r="119" spans="1:10" ht="16.5">
      <c r="A119" s="454"/>
      <c r="B119" s="455"/>
      <c r="C119" s="430"/>
      <c r="D119" s="454"/>
      <c r="E119" s="431"/>
      <c r="F119" s="431"/>
      <c r="G119" s="431"/>
      <c r="H119" s="431"/>
      <c r="I119" s="431"/>
      <c r="J119" s="431"/>
    </row>
    <row r="120" spans="1:10" ht="16.5">
      <c r="A120" s="454"/>
      <c r="B120" s="455"/>
      <c r="C120" s="430"/>
      <c r="D120" s="454"/>
      <c r="E120" s="431"/>
      <c r="F120" s="431"/>
      <c r="G120" s="431"/>
      <c r="H120" s="431"/>
      <c r="I120" s="431"/>
      <c r="J120" s="431"/>
    </row>
    <row r="121" spans="1:10" ht="16.5">
      <c r="A121" s="454"/>
      <c r="B121" s="455"/>
      <c r="C121" s="430"/>
      <c r="D121" s="454"/>
      <c r="E121" s="431"/>
      <c r="F121" s="431"/>
      <c r="G121" s="431"/>
      <c r="H121" s="431"/>
      <c r="I121" s="431"/>
      <c r="J121" s="431"/>
    </row>
    <row r="122" spans="1:10" ht="16.5">
      <c r="A122" s="454"/>
      <c r="B122" s="455"/>
      <c r="C122" s="430"/>
      <c r="D122" s="454"/>
      <c r="E122" s="431"/>
      <c r="F122" s="431"/>
      <c r="G122" s="431"/>
      <c r="H122" s="431"/>
      <c r="I122" s="431"/>
      <c r="J122" s="431"/>
    </row>
    <row r="123" spans="1:10" ht="16.5">
      <c r="A123" s="454"/>
      <c r="B123" s="455"/>
      <c r="C123" s="430"/>
      <c r="D123" s="454"/>
      <c r="E123" s="431"/>
      <c r="F123" s="431"/>
      <c r="G123" s="431"/>
      <c r="H123" s="431"/>
      <c r="I123" s="431"/>
      <c r="J123" s="431"/>
    </row>
    <row r="124" spans="1:10" ht="16.5">
      <c r="A124" s="454"/>
      <c r="B124" s="455"/>
      <c r="C124" s="430"/>
      <c r="D124" s="454"/>
      <c r="E124" s="431"/>
      <c r="F124" s="431"/>
      <c r="G124" s="431"/>
      <c r="H124" s="431"/>
      <c r="I124" s="431"/>
      <c r="J124" s="431"/>
    </row>
    <row r="125" spans="1:10" ht="16.5">
      <c r="A125" s="454"/>
      <c r="B125" s="455"/>
      <c r="C125" s="430"/>
      <c r="D125" s="454"/>
      <c r="E125" s="431"/>
      <c r="F125" s="431"/>
      <c r="G125" s="431"/>
      <c r="H125" s="431"/>
      <c r="I125" s="431"/>
      <c r="J125" s="431"/>
    </row>
    <row r="126" spans="1:10" ht="16.5">
      <c r="A126" s="454"/>
      <c r="B126" s="455"/>
      <c r="C126" s="430"/>
      <c r="D126" s="454"/>
      <c r="E126" s="431"/>
      <c r="F126" s="431"/>
      <c r="G126" s="431"/>
      <c r="H126" s="431"/>
      <c r="I126" s="431"/>
      <c r="J126" s="431"/>
    </row>
    <row r="127" spans="1:10" ht="16.5">
      <c r="A127" s="454"/>
      <c r="B127" s="455"/>
      <c r="C127" s="430"/>
      <c r="D127" s="454"/>
      <c r="E127" s="431"/>
      <c r="F127" s="431"/>
      <c r="G127" s="431"/>
      <c r="H127" s="431"/>
      <c r="I127" s="431"/>
      <c r="J127" s="431"/>
    </row>
    <row r="128" spans="1:10" ht="16.5">
      <c r="A128" s="454"/>
      <c r="B128" s="455"/>
      <c r="C128" s="430"/>
      <c r="D128" s="454"/>
      <c r="E128" s="431"/>
      <c r="F128" s="431"/>
      <c r="G128" s="431"/>
      <c r="H128" s="431"/>
      <c r="I128" s="431"/>
      <c r="J128" s="431"/>
    </row>
    <row r="129" spans="1:10" ht="16.5">
      <c r="A129" s="454"/>
      <c r="B129" s="455"/>
      <c r="C129" s="430"/>
      <c r="D129" s="454"/>
      <c r="E129" s="431"/>
      <c r="F129" s="431"/>
      <c r="G129" s="431"/>
      <c r="H129" s="431"/>
      <c r="I129" s="431"/>
      <c r="J129" s="431"/>
    </row>
    <row r="130" spans="1:10" ht="16.5">
      <c r="A130" s="454"/>
      <c r="B130" s="455"/>
      <c r="C130" s="430"/>
      <c r="D130" s="454"/>
      <c r="E130" s="431"/>
      <c r="F130" s="431"/>
      <c r="G130" s="431"/>
      <c r="H130" s="431"/>
      <c r="I130" s="431"/>
      <c r="J130" s="431"/>
    </row>
    <row r="131" spans="1:10" ht="16.5">
      <c r="A131" s="454"/>
      <c r="B131" s="455"/>
      <c r="C131" s="430"/>
      <c r="D131" s="454"/>
      <c r="E131" s="431"/>
      <c r="F131" s="431"/>
      <c r="G131" s="431"/>
      <c r="H131" s="431"/>
      <c r="I131" s="431"/>
      <c r="J131" s="431"/>
    </row>
    <row r="132" spans="1:10" ht="16.5">
      <c r="A132" s="454"/>
      <c r="B132" s="455"/>
      <c r="C132" s="430"/>
      <c r="D132" s="454"/>
      <c r="E132" s="431"/>
      <c r="F132" s="431"/>
      <c r="G132" s="431"/>
      <c r="H132" s="431"/>
      <c r="I132" s="431"/>
      <c r="J132" s="431"/>
    </row>
    <row r="133" spans="1:10" ht="16.5">
      <c r="A133" s="454"/>
      <c r="B133" s="455"/>
      <c r="C133" s="430"/>
      <c r="D133" s="454"/>
      <c r="E133" s="431"/>
      <c r="F133" s="431"/>
      <c r="G133" s="431"/>
      <c r="H133" s="431"/>
      <c r="I133" s="431"/>
      <c r="J133" s="431"/>
    </row>
    <row r="134" spans="1:10" ht="16.5">
      <c r="A134" s="454"/>
      <c r="B134" s="455"/>
      <c r="C134" s="430"/>
      <c r="D134" s="454"/>
      <c r="E134" s="431"/>
      <c r="F134" s="431"/>
      <c r="G134" s="431"/>
      <c r="H134" s="431"/>
      <c r="I134" s="431"/>
      <c r="J134" s="431"/>
    </row>
    <row r="135" spans="1:10" ht="16.5">
      <c r="A135" s="454"/>
      <c r="B135" s="455"/>
      <c r="C135" s="430"/>
      <c r="D135" s="454"/>
      <c r="E135" s="431"/>
      <c r="F135" s="431"/>
      <c r="G135" s="431"/>
      <c r="H135" s="431"/>
      <c r="I135" s="431"/>
      <c r="J135" s="431"/>
    </row>
    <row r="136" spans="1:10" ht="16.5">
      <c r="A136" s="454"/>
      <c r="B136" s="455"/>
      <c r="C136" s="430"/>
      <c r="D136" s="454"/>
      <c r="E136" s="431"/>
      <c r="F136" s="431"/>
      <c r="G136" s="431"/>
      <c r="H136" s="431"/>
      <c r="I136" s="431"/>
      <c r="J136" s="431"/>
    </row>
    <row r="137" spans="1:10" ht="16.5">
      <c r="A137" s="454"/>
      <c r="B137" s="455"/>
      <c r="C137" s="430"/>
      <c r="D137" s="454"/>
      <c r="E137" s="431"/>
      <c r="F137" s="431"/>
      <c r="G137" s="431"/>
      <c r="H137" s="431"/>
      <c r="I137" s="431"/>
      <c r="J137" s="431"/>
    </row>
    <row r="138" spans="1:10" ht="16.5">
      <c r="A138" s="454"/>
      <c r="B138" s="455"/>
      <c r="C138" s="430"/>
      <c r="D138" s="454"/>
      <c r="E138" s="431"/>
      <c r="F138" s="431"/>
      <c r="G138" s="431"/>
      <c r="H138" s="431"/>
      <c r="I138" s="431"/>
      <c r="J138" s="431"/>
    </row>
    <row r="139" spans="1:10" ht="16.5">
      <c r="A139" s="454"/>
      <c r="B139" s="455"/>
      <c r="C139" s="430"/>
      <c r="D139" s="454"/>
      <c r="E139" s="431"/>
      <c r="F139" s="431"/>
      <c r="G139" s="431"/>
      <c r="H139" s="431"/>
      <c r="I139" s="431"/>
      <c r="J139" s="431"/>
    </row>
    <row r="140" spans="1:10" ht="16.5">
      <c r="A140" s="454"/>
      <c r="B140" s="455"/>
      <c r="C140" s="430"/>
      <c r="D140" s="454"/>
      <c r="E140" s="431"/>
      <c r="F140" s="431"/>
      <c r="G140" s="431"/>
      <c r="H140" s="431"/>
      <c r="I140" s="431"/>
      <c r="J140" s="431"/>
    </row>
    <row r="141" spans="1:10" ht="16.5">
      <c r="A141" s="454"/>
      <c r="B141" s="455"/>
      <c r="C141" s="430"/>
      <c r="D141" s="454"/>
      <c r="E141" s="431"/>
      <c r="F141" s="431"/>
      <c r="G141" s="431"/>
      <c r="H141" s="431"/>
      <c r="I141" s="431"/>
      <c r="J141" s="431"/>
    </row>
    <row r="142" spans="1:10" ht="16.5">
      <c r="A142" s="454"/>
      <c r="B142" s="455"/>
      <c r="C142" s="430"/>
      <c r="D142" s="454"/>
      <c r="E142" s="431"/>
      <c r="F142" s="431"/>
      <c r="G142" s="431"/>
      <c r="H142" s="431"/>
      <c r="I142" s="431"/>
      <c r="J142" s="431"/>
    </row>
    <row r="143" spans="1:10" ht="16.5">
      <c r="A143" s="454"/>
      <c r="B143" s="455"/>
      <c r="C143" s="430"/>
      <c r="D143" s="454"/>
      <c r="E143" s="431"/>
      <c r="F143" s="431"/>
      <c r="G143" s="431"/>
      <c r="H143" s="431"/>
      <c r="I143" s="431"/>
      <c r="J143" s="431"/>
    </row>
    <row r="144" spans="1:10" ht="16.5">
      <c r="A144" s="454"/>
      <c r="B144" s="455"/>
      <c r="C144" s="430"/>
      <c r="D144" s="454"/>
      <c r="E144" s="431"/>
      <c r="F144" s="431"/>
      <c r="G144" s="431"/>
      <c r="H144" s="431"/>
      <c r="I144" s="431"/>
      <c r="J144" s="431"/>
    </row>
    <row r="145" spans="1:10" ht="16.5">
      <c r="A145" s="454"/>
      <c r="B145" s="455"/>
      <c r="C145" s="430"/>
      <c r="D145" s="454"/>
      <c r="E145" s="431"/>
      <c r="F145" s="431"/>
      <c r="G145" s="431"/>
      <c r="H145" s="431"/>
      <c r="I145" s="431"/>
      <c r="J145" s="431"/>
    </row>
    <row r="146" spans="1:10" ht="16.5">
      <c r="A146" s="454"/>
      <c r="B146" s="455"/>
      <c r="C146" s="430"/>
      <c r="D146" s="454"/>
      <c r="E146" s="431"/>
      <c r="F146" s="431"/>
      <c r="G146" s="431"/>
      <c r="H146" s="431"/>
      <c r="I146" s="431"/>
      <c r="J146" s="431"/>
    </row>
    <row r="147" spans="1:10" ht="16.5">
      <c r="A147" s="454"/>
      <c r="B147" s="455"/>
      <c r="C147" s="430"/>
      <c r="D147" s="454"/>
      <c r="E147" s="431"/>
      <c r="F147" s="431"/>
      <c r="G147" s="431"/>
      <c r="H147" s="431"/>
      <c r="I147" s="431"/>
      <c r="J147" s="431"/>
    </row>
    <row r="148" spans="1:10" ht="16.5">
      <c r="A148" s="454"/>
      <c r="B148" s="455"/>
      <c r="C148" s="430"/>
      <c r="D148" s="454"/>
      <c r="E148" s="431"/>
      <c r="F148" s="431"/>
      <c r="G148" s="431"/>
      <c r="H148" s="431"/>
      <c r="I148" s="431"/>
      <c r="J148" s="431"/>
    </row>
    <row r="149" spans="1:10" ht="16.5">
      <c r="A149" s="454"/>
      <c r="B149" s="455"/>
      <c r="C149" s="430"/>
      <c r="D149" s="454"/>
      <c r="E149" s="431"/>
      <c r="F149" s="431"/>
      <c r="G149" s="431"/>
      <c r="H149" s="431"/>
      <c r="I149" s="431"/>
      <c r="J149" s="431"/>
    </row>
    <row r="150" spans="1:10" ht="16.5">
      <c r="A150" s="454"/>
      <c r="B150" s="455"/>
      <c r="C150" s="430"/>
      <c r="D150" s="454"/>
      <c r="E150" s="431"/>
      <c r="F150" s="431"/>
      <c r="G150" s="431"/>
      <c r="H150" s="431"/>
      <c r="I150" s="431"/>
      <c r="J150" s="431"/>
    </row>
    <row r="151" spans="1:10" ht="16.5">
      <c r="A151" s="454"/>
      <c r="B151" s="455"/>
      <c r="C151" s="430"/>
      <c r="D151" s="454"/>
      <c r="E151" s="431"/>
      <c r="F151" s="431"/>
      <c r="G151" s="431"/>
      <c r="H151" s="431"/>
      <c r="I151" s="431"/>
      <c r="J151" s="431"/>
    </row>
    <row r="152" spans="1:10" ht="16.5">
      <c r="A152" s="454"/>
      <c r="B152" s="455"/>
      <c r="C152" s="430"/>
      <c r="D152" s="454"/>
      <c r="E152" s="431"/>
      <c r="F152" s="431"/>
      <c r="G152" s="431"/>
      <c r="H152" s="431"/>
      <c r="I152" s="431"/>
      <c r="J152" s="431"/>
    </row>
    <row r="153" spans="1:10" ht="16.5">
      <c r="A153" s="454"/>
      <c r="B153" s="455"/>
      <c r="C153" s="430"/>
      <c r="D153" s="454"/>
      <c r="E153" s="431"/>
      <c r="F153" s="431"/>
      <c r="G153" s="431"/>
      <c r="H153" s="431"/>
      <c r="I153" s="431"/>
      <c r="J153" s="431"/>
    </row>
    <row r="154" spans="1:10" ht="16.5">
      <c r="A154" s="454"/>
      <c r="B154" s="455"/>
      <c r="C154" s="430"/>
      <c r="D154" s="454"/>
      <c r="E154" s="431"/>
      <c r="F154" s="431"/>
      <c r="G154" s="431"/>
      <c r="H154" s="431"/>
      <c r="I154" s="431"/>
      <c r="J154" s="431"/>
    </row>
    <row r="155" spans="1:10" ht="16.5">
      <c r="A155" s="454"/>
      <c r="B155" s="455"/>
      <c r="C155" s="430"/>
      <c r="D155" s="454"/>
      <c r="E155" s="431"/>
      <c r="F155" s="431"/>
      <c r="G155" s="431"/>
      <c r="H155" s="431"/>
      <c r="I155" s="431"/>
      <c r="J155" s="431"/>
    </row>
    <row r="156" spans="1:10" ht="16.5">
      <c r="A156" s="454"/>
      <c r="B156" s="455"/>
      <c r="C156" s="430"/>
      <c r="D156" s="454"/>
      <c r="E156" s="431"/>
      <c r="F156" s="431"/>
      <c r="G156" s="431"/>
      <c r="H156" s="431"/>
      <c r="I156" s="431"/>
      <c r="J156" s="431"/>
    </row>
    <row r="157" spans="1:10" ht="16.5">
      <c r="A157" s="454"/>
      <c r="B157" s="455"/>
      <c r="C157" s="430"/>
      <c r="D157" s="454"/>
      <c r="E157" s="431"/>
      <c r="F157" s="431"/>
      <c r="G157" s="431"/>
      <c r="H157" s="431"/>
      <c r="I157" s="431"/>
      <c r="J157" s="431"/>
    </row>
    <row r="158" spans="1:10" ht="16.5">
      <c r="A158" s="454"/>
      <c r="B158" s="455"/>
      <c r="C158" s="430"/>
      <c r="D158" s="454"/>
      <c r="E158" s="431"/>
      <c r="F158" s="431"/>
      <c r="G158" s="431"/>
      <c r="H158" s="431"/>
      <c r="I158" s="431"/>
      <c r="J158" s="431"/>
    </row>
    <row r="159" spans="1:10" ht="16.5">
      <c r="A159" s="454"/>
      <c r="B159" s="455"/>
      <c r="C159" s="430"/>
      <c r="D159" s="454"/>
      <c r="E159" s="431"/>
      <c r="F159" s="431"/>
      <c r="G159" s="431"/>
      <c r="H159" s="431"/>
      <c r="I159" s="431"/>
      <c r="J159" s="431"/>
    </row>
    <row r="160" spans="1:10" ht="16.5">
      <c r="A160" s="454"/>
      <c r="B160" s="455"/>
      <c r="C160" s="430"/>
      <c r="D160" s="454"/>
      <c r="E160" s="431"/>
      <c r="F160" s="431"/>
      <c r="G160" s="431"/>
      <c r="H160" s="431"/>
      <c r="I160" s="431"/>
      <c r="J160" s="431"/>
    </row>
    <row r="161" spans="1:10" ht="16.5">
      <c r="A161" s="454"/>
      <c r="B161" s="455"/>
      <c r="C161" s="430"/>
      <c r="D161" s="454"/>
      <c r="E161" s="431"/>
      <c r="F161" s="431"/>
      <c r="G161" s="431"/>
      <c r="H161" s="431"/>
      <c r="I161" s="431"/>
      <c r="J161" s="431"/>
    </row>
    <row r="162" spans="1:10" ht="16.5">
      <c r="A162" s="454"/>
      <c r="B162" s="455"/>
      <c r="C162" s="430"/>
      <c r="D162" s="454"/>
      <c r="E162" s="431"/>
      <c r="F162" s="431"/>
      <c r="G162" s="431"/>
      <c r="H162" s="431"/>
      <c r="I162" s="431"/>
      <c r="J162" s="431"/>
    </row>
    <row r="163" spans="1:10" ht="16.5">
      <c r="A163" s="454"/>
      <c r="B163" s="455"/>
      <c r="C163" s="430"/>
      <c r="D163" s="454"/>
      <c r="E163" s="431"/>
      <c r="F163" s="431"/>
      <c r="G163" s="431"/>
      <c r="H163" s="431"/>
      <c r="I163" s="431"/>
      <c r="J163" s="431"/>
    </row>
    <row r="164" spans="1:10" ht="16.5">
      <c r="A164" s="454"/>
      <c r="B164" s="455"/>
      <c r="C164" s="430"/>
      <c r="D164" s="454"/>
      <c r="E164" s="431"/>
      <c r="F164" s="431"/>
      <c r="G164" s="431"/>
      <c r="H164" s="431"/>
      <c r="I164" s="431"/>
      <c r="J164" s="431"/>
    </row>
    <row r="165" spans="1:10" ht="16.5">
      <c r="A165" s="454"/>
      <c r="B165" s="455"/>
      <c r="C165" s="430"/>
      <c r="D165" s="454"/>
      <c r="E165" s="431"/>
      <c r="F165" s="431"/>
      <c r="G165" s="431"/>
      <c r="H165" s="431"/>
      <c r="I165" s="431"/>
      <c r="J165" s="431"/>
    </row>
    <row r="166" spans="1:10" ht="16.5">
      <c r="A166" s="454"/>
      <c r="B166" s="455"/>
      <c r="C166" s="430"/>
      <c r="D166" s="454"/>
      <c r="E166" s="431"/>
      <c r="F166" s="431"/>
      <c r="G166" s="431"/>
      <c r="H166" s="431"/>
      <c r="I166" s="431"/>
      <c r="J166" s="431"/>
    </row>
    <row r="167" spans="1:10" ht="16.5">
      <c r="A167" s="454"/>
      <c r="B167" s="455"/>
      <c r="C167" s="430"/>
      <c r="D167" s="454"/>
      <c r="E167" s="431"/>
      <c r="F167" s="431"/>
      <c r="G167" s="431"/>
      <c r="H167" s="431"/>
      <c r="I167" s="431"/>
      <c r="J167" s="431"/>
    </row>
    <row r="168" spans="1:10" ht="16.5">
      <c r="A168" s="454"/>
      <c r="B168" s="455"/>
      <c r="C168" s="430"/>
      <c r="D168" s="454"/>
      <c r="E168" s="431"/>
      <c r="F168" s="431"/>
      <c r="G168" s="431"/>
      <c r="H168" s="431"/>
      <c r="I168" s="431"/>
      <c r="J168" s="431"/>
    </row>
    <row r="169" spans="1:10" ht="16.5">
      <c r="A169" s="454"/>
      <c r="B169" s="455"/>
      <c r="C169" s="430"/>
      <c r="D169" s="454"/>
      <c r="E169" s="431"/>
      <c r="F169" s="431"/>
      <c r="G169" s="431"/>
      <c r="H169" s="431"/>
      <c r="I169" s="431"/>
      <c r="J169" s="431"/>
    </row>
    <row r="170" spans="1:10" ht="16.5">
      <c r="A170" s="454"/>
      <c r="B170" s="455"/>
      <c r="C170" s="430"/>
      <c r="D170" s="454"/>
      <c r="E170" s="431"/>
      <c r="F170" s="431"/>
      <c r="G170" s="431"/>
      <c r="H170" s="431"/>
      <c r="I170" s="431"/>
      <c r="J170" s="431"/>
    </row>
    <row r="171" spans="1:10" ht="16.5">
      <c r="A171" s="454"/>
      <c r="B171" s="455"/>
      <c r="C171" s="430"/>
      <c r="D171" s="454"/>
      <c r="E171" s="431"/>
      <c r="F171" s="431"/>
      <c r="G171" s="431"/>
      <c r="H171" s="431"/>
      <c r="I171" s="431"/>
      <c r="J171" s="431"/>
    </row>
    <row r="172" spans="1:10" ht="16.5">
      <c r="A172" s="454"/>
      <c r="B172" s="455"/>
      <c r="C172" s="430"/>
      <c r="D172" s="454"/>
      <c r="E172" s="431"/>
      <c r="F172" s="431"/>
      <c r="G172" s="431"/>
      <c r="H172" s="431"/>
      <c r="I172" s="431"/>
      <c r="J172" s="431"/>
    </row>
    <row r="173" spans="1:10" ht="16.5">
      <c r="A173" s="454"/>
      <c r="B173" s="455"/>
      <c r="C173" s="430"/>
      <c r="D173" s="454"/>
      <c r="E173" s="431"/>
      <c r="F173" s="431"/>
      <c r="G173" s="431"/>
      <c r="H173" s="431"/>
      <c r="I173" s="431"/>
      <c r="J173" s="431"/>
    </row>
    <row r="174" spans="1:10" ht="16.5">
      <c r="A174" s="454"/>
      <c r="B174" s="455"/>
      <c r="C174" s="430"/>
      <c r="D174" s="454"/>
      <c r="E174" s="431"/>
      <c r="F174" s="431"/>
      <c r="G174" s="431"/>
      <c r="H174" s="431"/>
      <c r="I174" s="431"/>
      <c r="J174" s="431"/>
    </row>
    <row r="175" spans="1:10" ht="16.5">
      <c r="A175" s="454"/>
      <c r="B175" s="455"/>
      <c r="C175" s="430"/>
      <c r="D175" s="454"/>
      <c r="E175" s="431"/>
      <c r="F175" s="431"/>
      <c r="G175" s="431"/>
      <c r="H175" s="431"/>
      <c r="I175" s="431"/>
      <c r="J175" s="431"/>
    </row>
    <row r="176" spans="1:10" ht="16.5">
      <c r="A176" s="454"/>
      <c r="B176" s="455"/>
      <c r="C176" s="430"/>
      <c r="D176" s="454"/>
      <c r="E176" s="431"/>
      <c r="F176" s="431"/>
      <c r="G176" s="431"/>
      <c r="H176" s="431"/>
      <c r="I176" s="431"/>
      <c r="J176" s="431"/>
    </row>
    <row r="177" spans="1:10" ht="16.5">
      <c r="A177" s="454"/>
      <c r="B177" s="455"/>
      <c r="C177" s="430"/>
      <c r="D177" s="454"/>
      <c r="E177" s="431"/>
      <c r="F177" s="431"/>
      <c r="G177" s="431"/>
      <c r="H177" s="431"/>
      <c r="I177" s="431"/>
      <c r="J177" s="431"/>
    </row>
    <row r="178" spans="1:10" ht="16.5">
      <c r="A178" s="454"/>
      <c r="B178" s="455"/>
      <c r="C178" s="430"/>
      <c r="D178" s="454"/>
      <c r="E178" s="431"/>
      <c r="F178" s="431"/>
      <c r="G178" s="431"/>
      <c r="H178" s="431"/>
      <c r="I178" s="431"/>
      <c r="J178" s="431"/>
    </row>
    <row r="179" spans="1:10" ht="16.5">
      <c r="A179" s="454"/>
      <c r="B179" s="455"/>
      <c r="C179" s="430"/>
      <c r="D179" s="454"/>
      <c r="E179" s="431"/>
      <c r="F179" s="431"/>
      <c r="G179" s="431"/>
      <c r="H179" s="431"/>
      <c r="I179" s="431"/>
      <c r="J179" s="431"/>
    </row>
    <row r="180" spans="1:10" ht="16.5">
      <c r="A180" s="454"/>
      <c r="B180" s="455"/>
      <c r="C180" s="430"/>
      <c r="D180" s="454"/>
      <c r="E180" s="431"/>
      <c r="F180" s="431"/>
      <c r="G180" s="431"/>
      <c r="H180" s="431"/>
      <c r="I180" s="431"/>
      <c r="J180" s="431"/>
    </row>
    <row r="181" spans="1:10" ht="16.5">
      <c r="A181" s="454"/>
      <c r="B181" s="455"/>
      <c r="C181" s="430"/>
      <c r="D181" s="454"/>
      <c r="E181" s="431"/>
      <c r="F181" s="431"/>
      <c r="G181" s="431"/>
      <c r="H181" s="431"/>
      <c r="I181" s="431"/>
      <c r="J181" s="431"/>
    </row>
    <row r="182" spans="1:10" ht="16.5">
      <c r="A182" s="454"/>
      <c r="B182" s="455"/>
      <c r="C182" s="430"/>
      <c r="D182" s="454"/>
      <c r="E182" s="431"/>
      <c r="F182" s="431"/>
      <c r="G182" s="431"/>
      <c r="H182" s="431"/>
      <c r="I182" s="431"/>
      <c r="J182" s="431"/>
    </row>
    <row r="183" spans="1:10" ht="16.5">
      <c r="A183" s="454"/>
      <c r="B183" s="455"/>
      <c r="C183" s="430"/>
      <c r="D183" s="454"/>
      <c r="E183" s="431"/>
      <c r="F183" s="431"/>
      <c r="G183" s="431"/>
      <c r="H183" s="431"/>
      <c r="I183" s="431"/>
      <c r="J183" s="431"/>
    </row>
    <row r="184" spans="1:10" ht="16.5">
      <c r="A184" s="454"/>
      <c r="B184" s="455"/>
      <c r="C184" s="430"/>
      <c r="D184" s="454"/>
      <c r="E184" s="431"/>
      <c r="F184" s="431"/>
      <c r="G184" s="431"/>
      <c r="H184" s="431"/>
      <c r="I184" s="431"/>
      <c r="J184" s="431"/>
    </row>
    <row r="185" spans="1:10" ht="16.5">
      <c r="A185" s="454"/>
      <c r="B185" s="455"/>
      <c r="C185" s="430"/>
      <c r="D185" s="454"/>
      <c r="E185" s="431"/>
      <c r="F185" s="431"/>
      <c r="G185" s="431"/>
      <c r="H185" s="431"/>
      <c r="I185" s="431"/>
      <c r="J185" s="431"/>
    </row>
    <row r="186" spans="1:10" ht="16.5">
      <c r="A186" s="454"/>
      <c r="B186" s="455"/>
      <c r="C186" s="430"/>
      <c r="D186" s="454"/>
      <c r="E186" s="431"/>
      <c r="F186" s="431"/>
      <c r="G186" s="431"/>
      <c r="H186" s="431"/>
      <c r="I186" s="431"/>
      <c r="J186" s="431"/>
    </row>
    <row r="187" spans="1:10" ht="16.5">
      <c r="A187" s="454"/>
      <c r="B187" s="455"/>
      <c r="C187" s="430"/>
      <c r="D187" s="454"/>
      <c r="E187" s="431"/>
      <c r="F187" s="431"/>
      <c r="G187" s="431"/>
      <c r="H187" s="431"/>
      <c r="I187" s="431"/>
      <c r="J187" s="431"/>
    </row>
    <row r="188" spans="1:10" ht="16.5">
      <c r="A188" s="454"/>
      <c r="B188" s="455"/>
      <c r="C188" s="430"/>
      <c r="D188" s="454"/>
      <c r="E188" s="431"/>
      <c r="F188" s="431"/>
      <c r="G188" s="431"/>
      <c r="H188" s="431"/>
      <c r="I188" s="431"/>
      <c r="J188" s="431"/>
    </row>
    <row r="189" spans="1:10" ht="16.5">
      <c r="A189" s="454"/>
      <c r="B189" s="455"/>
      <c r="C189" s="430"/>
      <c r="D189" s="454"/>
      <c r="E189" s="431"/>
      <c r="F189" s="431"/>
      <c r="G189" s="431"/>
      <c r="H189" s="431"/>
      <c r="I189" s="431"/>
      <c r="J189" s="431"/>
    </row>
    <row r="190" spans="1:10" ht="16.5">
      <c r="A190" s="454"/>
      <c r="B190" s="455"/>
      <c r="C190" s="430"/>
      <c r="D190" s="454"/>
      <c r="E190" s="431"/>
      <c r="F190" s="431"/>
      <c r="G190" s="431"/>
      <c r="H190" s="431"/>
      <c r="I190" s="431"/>
      <c r="J190" s="431"/>
    </row>
    <row r="191" spans="1:10" ht="16.5">
      <c r="A191" s="454"/>
      <c r="B191" s="455"/>
      <c r="C191" s="430"/>
      <c r="D191" s="454"/>
      <c r="E191" s="431"/>
      <c r="F191" s="431"/>
      <c r="G191" s="431"/>
      <c r="H191" s="431"/>
      <c r="I191" s="431"/>
      <c r="J191" s="431"/>
    </row>
    <row r="192" spans="1:10" ht="16.5">
      <c r="A192" s="454"/>
      <c r="B192" s="455"/>
      <c r="C192" s="430"/>
      <c r="D192" s="454"/>
      <c r="E192" s="431"/>
      <c r="F192" s="431"/>
      <c r="G192" s="431"/>
      <c r="H192" s="431"/>
      <c r="I192" s="431"/>
      <c r="J192" s="431"/>
    </row>
    <row r="193" spans="1:10" ht="16.5">
      <c r="A193" s="454"/>
      <c r="B193" s="455"/>
      <c r="C193" s="430"/>
      <c r="D193" s="454"/>
      <c r="E193" s="431"/>
      <c r="F193" s="431"/>
      <c r="G193" s="431"/>
      <c r="H193" s="431"/>
      <c r="I193" s="431"/>
      <c r="J193" s="431"/>
    </row>
    <row r="194" spans="1:10" ht="16.5">
      <c r="A194" s="454"/>
      <c r="B194" s="455"/>
      <c r="C194" s="430"/>
      <c r="D194" s="454"/>
      <c r="E194" s="431"/>
      <c r="F194" s="431"/>
      <c r="G194" s="431"/>
      <c r="H194" s="431"/>
      <c r="I194" s="431"/>
      <c r="J194" s="431"/>
    </row>
    <row r="195" spans="1:10" ht="16.5">
      <c r="A195" s="454"/>
      <c r="B195" s="455"/>
      <c r="C195" s="430"/>
      <c r="D195" s="454"/>
      <c r="E195" s="431"/>
      <c r="F195" s="431"/>
      <c r="G195" s="431"/>
      <c r="H195" s="431"/>
      <c r="I195" s="431"/>
      <c r="J195" s="431"/>
    </row>
    <row r="196" spans="1:10" ht="16.5">
      <c r="A196" s="454"/>
      <c r="B196" s="455"/>
      <c r="C196" s="430"/>
      <c r="D196" s="454"/>
      <c r="E196" s="431"/>
      <c r="F196" s="431"/>
      <c r="G196" s="431"/>
      <c r="H196" s="431"/>
      <c r="I196" s="431"/>
      <c r="J196" s="431"/>
    </row>
    <row r="197" spans="1:10" ht="16.5">
      <c r="A197" s="454"/>
      <c r="B197" s="455"/>
      <c r="C197" s="430"/>
      <c r="D197" s="454"/>
      <c r="E197" s="431"/>
      <c r="F197" s="431"/>
      <c r="G197" s="431"/>
      <c r="H197" s="431"/>
      <c r="I197" s="431"/>
      <c r="J197" s="431"/>
    </row>
    <row r="198" spans="1:10" ht="16.5">
      <c r="A198" s="454"/>
      <c r="B198" s="455"/>
      <c r="C198" s="430"/>
      <c r="D198" s="454"/>
      <c r="E198" s="431"/>
      <c r="F198" s="431"/>
      <c r="G198" s="431"/>
      <c r="H198" s="431"/>
      <c r="I198" s="431"/>
      <c r="J198" s="431"/>
    </row>
    <row r="199" spans="1:10" ht="16.5">
      <c r="A199" s="454"/>
      <c r="B199" s="455"/>
      <c r="C199" s="430"/>
      <c r="D199" s="454"/>
      <c r="E199" s="431"/>
      <c r="F199" s="431"/>
      <c r="G199" s="431"/>
      <c r="H199" s="431"/>
      <c r="I199" s="431"/>
      <c r="J199" s="431"/>
    </row>
    <row r="200" spans="1:10" ht="16.5">
      <c r="A200" s="454"/>
      <c r="B200" s="455"/>
      <c r="C200" s="430"/>
      <c r="D200" s="454"/>
      <c r="E200" s="431"/>
      <c r="F200" s="431"/>
      <c r="G200" s="431"/>
      <c r="H200" s="431"/>
      <c r="I200" s="431"/>
      <c r="J200" s="431"/>
    </row>
    <row r="201" spans="1:10" ht="16.5">
      <c r="A201" s="454"/>
      <c r="B201" s="455"/>
      <c r="C201" s="430"/>
      <c r="D201" s="454"/>
      <c r="E201" s="431"/>
      <c r="F201" s="431"/>
      <c r="G201" s="431"/>
      <c r="H201" s="431"/>
      <c r="I201" s="431"/>
      <c r="J201" s="431"/>
    </row>
    <row r="202" spans="1:10" ht="16.5">
      <c r="A202" s="454"/>
      <c r="B202" s="455"/>
      <c r="C202" s="430"/>
      <c r="D202" s="454"/>
      <c r="E202" s="431"/>
      <c r="F202" s="431"/>
      <c r="G202" s="431"/>
      <c r="H202" s="431"/>
      <c r="I202" s="431"/>
      <c r="J202" s="431"/>
    </row>
    <row r="203" spans="1:10" ht="16.5">
      <c r="A203" s="454"/>
      <c r="B203" s="455"/>
      <c r="C203" s="430"/>
      <c r="D203" s="454"/>
      <c r="E203" s="431"/>
      <c r="F203" s="431"/>
      <c r="G203" s="431"/>
      <c r="H203" s="431"/>
      <c r="I203" s="431"/>
      <c r="J203" s="431"/>
    </row>
    <row r="204" spans="1:10" ht="16.5">
      <c r="A204" s="454"/>
      <c r="B204" s="455"/>
      <c r="C204" s="430"/>
      <c r="D204" s="454"/>
      <c r="E204" s="431"/>
      <c r="F204" s="431"/>
      <c r="G204" s="431"/>
      <c r="H204" s="431"/>
      <c r="I204" s="431"/>
      <c r="J204" s="431"/>
    </row>
    <row r="205" spans="1:10" ht="16.5">
      <c r="A205" s="454"/>
      <c r="B205" s="455"/>
      <c r="C205" s="430"/>
      <c r="D205" s="454"/>
      <c r="E205" s="431"/>
      <c r="F205" s="431"/>
      <c r="G205" s="431"/>
      <c r="H205" s="431"/>
      <c r="I205" s="431"/>
      <c r="J205" s="431"/>
    </row>
    <row r="206" spans="1:10" ht="16.5">
      <c r="A206" s="454"/>
      <c r="B206" s="455"/>
      <c r="C206" s="430"/>
      <c r="D206" s="454"/>
      <c r="E206" s="431"/>
      <c r="F206" s="431"/>
      <c r="G206" s="431"/>
      <c r="H206" s="431"/>
      <c r="I206" s="431"/>
      <c r="J206" s="431"/>
    </row>
    <row r="207" spans="1:10" ht="16.5">
      <c r="A207" s="454"/>
      <c r="B207" s="455"/>
      <c r="C207" s="430"/>
      <c r="D207" s="454"/>
      <c r="E207" s="431"/>
      <c r="F207" s="431"/>
      <c r="G207" s="431"/>
      <c r="H207" s="431"/>
      <c r="I207" s="431"/>
      <c r="J207" s="431"/>
    </row>
    <row r="208" spans="1:10" ht="16.5">
      <c r="A208" s="454"/>
      <c r="B208" s="455"/>
      <c r="C208" s="430"/>
      <c r="D208" s="454"/>
      <c r="E208" s="431"/>
      <c r="F208" s="431"/>
      <c r="G208" s="431"/>
      <c r="H208" s="431"/>
      <c r="I208" s="431"/>
      <c r="J208" s="431"/>
    </row>
    <row r="209" spans="1:10" ht="16.5">
      <c r="A209" s="454"/>
      <c r="B209" s="455"/>
      <c r="C209" s="430"/>
      <c r="D209" s="454"/>
      <c r="E209" s="431"/>
      <c r="F209" s="431"/>
      <c r="G209" s="431"/>
      <c r="H209" s="431"/>
      <c r="I209" s="431"/>
      <c r="J209" s="431"/>
    </row>
    <row r="210" spans="1:10" ht="16.5">
      <c r="A210" s="454"/>
      <c r="B210" s="455"/>
      <c r="C210" s="430"/>
      <c r="D210" s="454"/>
      <c r="E210" s="431"/>
      <c r="F210" s="431"/>
      <c r="G210" s="431"/>
      <c r="H210" s="431"/>
      <c r="I210" s="431"/>
      <c r="J210" s="431"/>
    </row>
    <row r="211" spans="1:10" ht="16.5">
      <c r="A211" s="454"/>
      <c r="B211" s="455"/>
      <c r="C211" s="430"/>
      <c r="D211" s="454"/>
      <c r="E211" s="431"/>
      <c r="F211" s="431"/>
      <c r="G211" s="431"/>
      <c r="H211" s="431"/>
      <c r="I211" s="431"/>
      <c r="J211" s="431"/>
    </row>
    <row r="212" spans="1:10" ht="16.5">
      <c r="A212" s="454"/>
      <c r="B212" s="455"/>
      <c r="C212" s="430"/>
      <c r="D212" s="454"/>
      <c r="E212" s="431"/>
      <c r="F212" s="431"/>
      <c r="G212" s="431"/>
      <c r="H212" s="431"/>
      <c r="I212" s="431"/>
      <c r="J212" s="431"/>
    </row>
    <row r="213" spans="1:10" ht="16.5">
      <c r="A213" s="454"/>
      <c r="B213" s="455"/>
      <c r="C213" s="430"/>
      <c r="D213" s="454"/>
      <c r="E213" s="431"/>
      <c r="F213" s="431"/>
      <c r="G213" s="431"/>
      <c r="H213" s="431"/>
      <c r="I213" s="431"/>
      <c r="J213" s="431"/>
    </row>
    <row r="214" spans="1:10" ht="16.5">
      <c r="A214" s="454"/>
      <c r="B214" s="455"/>
      <c r="C214" s="430"/>
      <c r="D214" s="454"/>
      <c r="E214" s="431"/>
      <c r="F214" s="431"/>
      <c r="G214" s="431"/>
      <c r="H214" s="431"/>
      <c r="I214" s="431"/>
      <c r="J214" s="431"/>
    </row>
    <row r="215" spans="1:10" ht="16.5">
      <c r="A215" s="454"/>
      <c r="B215" s="455"/>
      <c r="C215" s="430"/>
      <c r="D215" s="454"/>
      <c r="E215" s="431"/>
      <c r="F215" s="431"/>
      <c r="G215" s="431"/>
      <c r="H215" s="431"/>
      <c r="I215" s="431"/>
      <c r="J215" s="431"/>
    </row>
    <row r="216" spans="1:10" ht="16.5">
      <c r="A216" s="454"/>
      <c r="B216" s="455"/>
      <c r="C216" s="430"/>
      <c r="D216" s="454"/>
      <c r="E216" s="431"/>
      <c r="F216" s="431"/>
      <c r="G216" s="431"/>
      <c r="H216" s="431"/>
      <c r="I216" s="431"/>
      <c r="J216" s="431"/>
    </row>
    <row r="217" spans="1:10" ht="16.5">
      <c r="A217" s="454"/>
      <c r="B217" s="455"/>
      <c r="C217" s="430"/>
      <c r="D217" s="454"/>
      <c r="E217" s="431"/>
      <c r="F217" s="431"/>
      <c r="G217" s="431"/>
      <c r="H217" s="431"/>
      <c r="I217" s="431"/>
      <c r="J217" s="431"/>
    </row>
    <row r="218" spans="1:10" ht="16.5">
      <c r="A218" s="454"/>
      <c r="B218" s="455"/>
      <c r="C218" s="430"/>
      <c r="D218" s="454"/>
      <c r="E218" s="431"/>
      <c r="F218" s="431"/>
      <c r="G218" s="431"/>
      <c r="H218" s="431"/>
      <c r="I218" s="431"/>
      <c r="J218" s="431"/>
    </row>
    <row r="219" spans="1:10" ht="16.5">
      <c r="A219" s="454"/>
      <c r="B219" s="455"/>
      <c r="C219" s="430"/>
      <c r="D219" s="454"/>
      <c r="E219" s="431"/>
      <c r="F219" s="431"/>
      <c r="G219" s="431"/>
      <c r="H219" s="431"/>
      <c r="I219" s="431"/>
      <c r="J219" s="431"/>
    </row>
    <row r="220" spans="1:10" ht="16.5">
      <c r="A220" s="454"/>
      <c r="B220" s="455"/>
      <c r="C220" s="430"/>
      <c r="D220" s="454"/>
      <c r="E220" s="431"/>
      <c r="F220" s="431"/>
      <c r="G220" s="431"/>
      <c r="H220" s="431"/>
      <c r="I220" s="431"/>
      <c r="J220" s="431"/>
    </row>
    <row r="221" spans="1:10" ht="16.5">
      <c r="A221" s="454"/>
      <c r="B221" s="455"/>
      <c r="C221" s="430"/>
      <c r="D221" s="454"/>
      <c r="E221" s="431"/>
      <c r="F221" s="431"/>
      <c r="G221" s="431"/>
      <c r="H221" s="431"/>
      <c r="I221" s="431"/>
      <c r="J221" s="431"/>
    </row>
    <row r="222" spans="1:10" ht="16.5">
      <c r="A222" s="454"/>
      <c r="B222" s="455"/>
      <c r="C222" s="430"/>
      <c r="D222" s="454"/>
      <c r="E222" s="431"/>
      <c r="F222" s="431"/>
      <c r="G222" s="431"/>
      <c r="H222" s="431"/>
      <c r="I222" s="431"/>
      <c r="J222" s="431"/>
    </row>
    <row r="223" spans="1:10" ht="16.5">
      <c r="A223" s="454"/>
      <c r="B223" s="455"/>
      <c r="C223" s="430"/>
      <c r="D223" s="454"/>
      <c r="E223" s="431"/>
      <c r="F223" s="431"/>
      <c r="G223" s="431"/>
      <c r="H223" s="431"/>
      <c r="I223" s="431"/>
      <c r="J223" s="431"/>
    </row>
    <row r="224" spans="1:10" ht="16.5">
      <c r="A224" s="454"/>
      <c r="B224" s="455"/>
      <c r="C224" s="430"/>
      <c r="D224" s="454"/>
      <c r="E224" s="431"/>
      <c r="F224" s="431"/>
      <c r="G224" s="431"/>
      <c r="H224" s="431"/>
      <c r="I224" s="431"/>
      <c r="J224" s="431"/>
    </row>
    <row r="225" spans="1:10" ht="16.5">
      <c r="A225" s="454"/>
      <c r="B225" s="455"/>
      <c r="C225" s="430"/>
      <c r="D225" s="454"/>
      <c r="E225" s="431"/>
      <c r="F225" s="431"/>
      <c r="G225" s="431"/>
      <c r="H225" s="431"/>
      <c r="I225" s="431"/>
      <c r="J225" s="431"/>
    </row>
    <row r="226" spans="1:10" ht="16.5">
      <c r="A226" s="454"/>
      <c r="B226" s="455"/>
      <c r="C226" s="430"/>
      <c r="D226" s="454"/>
      <c r="E226" s="431"/>
      <c r="F226" s="431"/>
      <c r="G226" s="431"/>
      <c r="H226" s="431"/>
      <c r="I226" s="431"/>
      <c r="J226" s="431"/>
    </row>
    <row r="227" spans="1:10" ht="16.5">
      <c r="A227" s="454"/>
      <c r="B227" s="455"/>
      <c r="C227" s="430"/>
      <c r="D227" s="454"/>
      <c r="E227" s="431"/>
      <c r="F227" s="431"/>
      <c r="G227" s="431"/>
      <c r="H227" s="431"/>
      <c r="I227" s="431"/>
      <c r="J227" s="431"/>
    </row>
    <row r="228" spans="1:10" ht="16.5">
      <c r="A228" s="454"/>
      <c r="B228" s="455"/>
      <c r="C228" s="430"/>
      <c r="D228" s="454"/>
      <c r="E228" s="431"/>
      <c r="F228" s="431"/>
      <c r="G228" s="431"/>
      <c r="H228" s="431"/>
      <c r="I228" s="431"/>
      <c r="J228" s="431"/>
    </row>
    <row r="229" spans="1:10" ht="16.5">
      <c r="A229" s="454"/>
      <c r="B229" s="455"/>
      <c r="C229" s="430"/>
      <c r="D229" s="454"/>
      <c r="E229" s="431"/>
      <c r="F229" s="431"/>
      <c r="G229" s="431"/>
      <c r="H229" s="431"/>
      <c r="I229" s="431"/>
      <c r="J229" s="431"/>
    </row>
    <row r="230" spans="1:10" ht="16.5">
      <c r="A230" s="454"/>
      <c r="B230" s="455"/>
      <c r="C230" s="430"/>
      <c r="D230" s="454"/>
      <c r="E230" s="431"/>
      <c r="F230" s="431"/>
      <c r="G230" s="431"/>
      <c r="H230" s="431"/>
      <c r="I230" s="431"/>
      <c r="J230" s="431"/>
    </row>
    <row r="231" spans="1:10" ht="16.5">
      <c r="A231" s="454"/>
      <c r="B231" s="455"/>
      <c r="C231" s="430"/>
      <c r="D231" s="454"/>
      <c r="E231" s="431"/>
      <c r="F231" s="431"/>
      <c r="G231" s="431"/>
      <c r="H231" s="431"/>
      <c r="I231" s="431"/>
      <c r="J231" s="431"/>
    </row>
    <row r="232" spans="1:10" ht="16.5">
      <c r="A232" s="454"/>
      <c r="B232" s="455"/>
      <c r="C232" s="430"/>
      <c r="D232" s="454"/>
      <c r="E232" s="431"/>
      <c r="F232" s="431"/>
      <c r="G232" s="431"/>
      <c r="H232" s="431"/>
      <c r="I232" s="431"/>
      <c r="J232" s="431"/>
    </row>
    <row r="233" spans="1:10" ht="16.5">
      <c r="A233" s="454"/>
      <c r="B233" s="455"/>
      <c r="C233" s="430"/>
      <c r="D233" s="454"/>
      <c r="E233" s="431"/>
      <c r="F233" s="431"/>
      <c r="G233" s="431"/>
      <c r="H233" s="431"/>
      <c r="I233" s="431"/>
      <c r="J233" s="431"/>
    </row>
    <row r="234" spans="1:10" ht="16.5">
      <c r="A234" s="454"/>
      <c r="B234" s="455"/>
      <c r="C234" s="430"/>
      <c r="D234" s="454"/>
      <c r="E234" s="431"/>
      <c r="F234" s="431"/>
      <c r="G234" s="431"/>
      <c r="H234" s="431"/>
      <c r="I234" s="431"/>
      <c r="J234" s="431"/>
    </row>
    <row r="235" spans="1:10" ht="16.5">
      <c r="A235" s="454"/>
      <c r="B235" s="455"/>
      <c r="C235" s="430"/>
      <c r="D235" s="454"/>
      <c r="E235" s="431"/>
      <c r="F235" s="431"/>
      <c r="G235" s="431"/>
      <c r="H235" s="431"/>
      <c r="I235" s="431"/>
      <c r="J235" s="431"/>
    </row>
    <row r="236" spans="1:10" ht="16.5">
      <c r="A236" s="454"/>
      <c r="B236" s="455"/>
      <c r="C236" s="430"/>
      <c r="D236" s="454"/>
      <c r="E236" s="431"/>
      <c r="F236" s="431"/>
      <c r="G236" s="431"/>
      <c r="H236" s="431"/>
      <c r="I236" s="431"/>
      <c r="J236" s="431"/>
    </row>
    <row r="237" spans="1:10" ht="16.5">
      <c r="A237" s="454"/>
      <c r="B237" s="455"/>
      <c r="C237" s="430"/>
      <c r="D237" s="454"/>
      <c r="E237" s="431"/>
      <c r="F237" s="431"/>
      <c r="G237" s="431"/>
      <c r="H237" s="431"/>
      <c r="I237" s="431"/>
      <c r="J237" s="431"/>
    </row>
    <row r="238" spans="1:10" ht="16.5">
      <c r="A238" s="454"/>
      <c r="B238" s="455"/>
      <c r="C238" s="430"/>
      <c r="D238" s="454"/>
      <c r="E238" s="431"/>
      <c r="F238" s="431"/>
      <c r="G238" s="431"/>
      <c r="H238" s="431"/>
      <c r="I238" s="431"/>
      <c r="J238" s="431"/>
    </row>
    <row r="239" spans="1:10" ht="16.5">
      <c r="A239" s="454"/>
      <c r="B239" s="455"/>
      <c r="C239" s="430"/>
      <c r="D239" s="454"/>
      <c r="E239" s="431"/>
      <c r="F239" s="431"/>
      <c r="G239" s="431"/>
      <c r="H239" s="431"/>
      <c r="I239" s="431"/>
      <c r="J239" s="431"/>
    </row>
    <row r="240" spans="1:10" ht="16.5">
      <c r="A240" s="454"/>
      <c r="B240" s="455"/>
      <c r="C240" s="430"/>
      <c r="D240" s="454"/>
      <c r="E240" s="431"/>
      <c r="F240" s="431"/>
      <c r="G240" s="431"/>
      <c r="H240" s="431"/>
      <c r="I240" s="431"/>
      <c r="J240" s="431"/>
    </row>
    <row r="241" spans="1:10" ht="16.5">
      <c r="A241" s="454"/>
      <c r="B241" s="455"/>
      <c r="C241" s="430"/>
      <c r="D241" s="454"/>
      <c r="E241" s="431"/>
      <c r="F241" s="431"/>
      <c r="G241" s="431"/>
      <c r="H241" s="431"/>
      <c r="I241" s="431"/>
      <c r="J241" s="431"/>
    </row>
    <row r="242" spans="1:10" ht="16.5">
      <c r="A242" s="454"/>
      <c r="B242" s="455"/>
      <c r="C242" s="430"/>
      <c r="D242" s="454"/>
      <c r="E242" s="431"/>
      <c r="F242" s="431"/>
      <c r="G242" s="431"/>
      <c r="H242" s="431"/>
      <c r="I242" s="431"/>
      <c r="J242" s="431"/>
    </row>
    <row r="243" spans="1:10" ht="16.5">
      <c r="A243" s="454"/>
      <c r="B243" s="455"/>
      <c r="C243" s="430"/>
      <c r="D243" s="454"/>
      <c r="E243" s="431"/>
      <c r="F243" s="431"/>
      <c r="G243" s="431"/>
      <c r="H243" s="431"/>
      <c r="I243" s="431"/>
      <c r="J243" s="431"/>
    </row>
    <row r="244" spans="1:10" ht="16.5">
      <c r="A244" s="454"/>
      <c r="B244" s="455"/>
      <c r="C244" s="430"/>
      <c r="D244" s="454"/>
      <c r="E244" s="431"/>
      <c r="F244" s="431"/>
      <c r="G244" s="431"/>
      <c r="H244" s="431"/>
      <c r="I244" s="431"/>
      <c r="J244" s="431"/>
    </row>
    <row r="245" spans="1:10" ht="16.5">
      <c r="A245" s="454"/>
      <c r="B245" s="455"/>
      <c r="C245" s="430"/>
      <c r="D245" s="454"/>
      <c r="E245" s="431"/>
      <c r="F245" s="431"/>
      <c r="G245" s="431"/>
      <c r="H245" s="431"/>
      <c r="I245" s="431"/>
      <c r="J245" s="431"/>
    </row>
    <row r="246" spans="1:10" ht="16.5">
      <c r="A246" s="454"/>
      <c r="B246" s="455"/>
      <c r="C246" s="430"/>
      <c r="D246" s="454"/>
      <c r="E246" s="431"/>
      <c r="F246" s="431"/>
      <c r="G246" s="431"/>
      <c r="H246" s="431"/>
      <c r="I246" s="431"/>
      <c r="J246" s="431"/>
    </row>
    <row r="247" spans="1:10" ht="16.5">
      <c r="A247" s="454"/>
      <c r="B247" s="455"/>
      <c r="C247" s="430"/>
      <c r="D247" s="454"/>
      <c r="E247" s="431"/>
      <c r="F247" s="431"/>
      <c r="G247" s="431"/>
      <c r="H247" s="431"/>
      <c r="I247" s="431"/>
      <c r="J247" s="431"/>
    </row>
    <row r="248" spans="1:10" ht="16.5">
      <c r="A248" s="454"/>
      <c r="B248" s="455"/>
      <c r="C248" s="430"/>
      <c r="D248" s="454"/>
      <c r="E248" s="431"/>
      <c r="F248" s="431"/>
      <c r="G248" s="431"/>
      <c r="H248" s="431"/>
      <c r="I248" s="431"/>
      <c r="J248" s="431"/>
    </row>
  </sheetData>
  <sheetProtection/>
  <mergeCells count="3">
    <mergeCell ref="A3:J3"/>
    <mergeCell ref="B2:J2"/>
    <mergeCell ref="I1:J1"/>
  </mergeCells>
  <printOptions horizontalCentered="1"/>
  <pageMargins left="0.708661417322835" right="0.47244094488189" top="0.62992125984252" bottom="0.78740157480315" header="0.433070866141732" footer="0.590551181102362"/>
  <pageSetup fitToHeight="0" fitToWidth="1" horizontalDpi="600" verticalDpi="600" orientation="landscape" paperSize="9" scale="92" r:id="rId1"/>
  <headerFooter alignWithMargins="0">
    <oddFooter>&amp;R&amp;"Times New Roman,Regular"&amp;12&amp;P/&amp;N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8"/>
  <sheetViews>
    <sheetView view="pageBreakPreview" zoomScale="60" zoomScaleNormal="85" zoomScalePageLayoutView="0" workbookViewId="0" topLeftCell="A1">
      <selection activeCell="L10" sqref="L10"/>
    </sheetView>
  </sheetViews>
  <sheetFormatPr defaultColWidth="9.140625" defaultRowHeight="12.75"/>
  <cols>
    <col min="1" max="1" width="5.57421875" style="461" customWidth="1"/>
    <col min="2" max="2" width="37.421875" style="422" customWidth="1"/>
    <col min="3" max="3" width="15.421875" style="423" customWidth="1"/>
    <col min="4" max="4" width="14.8515625" style="423" customWidth="1"/>
    <col min="5" max="7" width="12.140625" style="421" customWidth="1"/>
    <col min="8" max="8" width="14.140625" style="421" customWidth="1"/>
    <col min="9" max="9" width="15.00390625" style="421" customWidth="1"/>
    <col min="10" max="10" width="18.57421875" style="421" customWidth="1"/>
    <col min="11" max="11" width="5.8515625" style="421" customWidth="1"/>
    <col min="12" max="16384" width="9.140625" style="421" customWidth="1"/>
  </cols>
  <sheetData>
    <row r="1" spans="1:10" ht="36.75" customHeight="1">
      <c r="A1" s="421"/>
      <c r="B1" s="422" t="s">
        <v>602</v>
      </c>
      <c r="H1" s="424" t="s">
        <v>342</v>
      </c>
      <c r="I1" s="1210" t="s">
        <v>331</v>
      </c>
      <c r="J1" s="1210"/>
    </row>
    <row r="2" spans="1:10" ht="26.25" customHeight="1">
      <c r="A2" s="421"/>
      <c r="B2" s="1198" t="s">
        <v>482</v>
      </c>
      <c r="C2" s="1198"/>
      <c r="D2" s="1198"/>
      <c r="E2" s="1198"/>
      <c r="F2" s="1198"/>
      <c r="G2" s="1198"/>
      <c r="H2" s="1198"/>
      <c r="I2" s="1198"/>
      <c r="J2" s="1198"/>
    </row>
    <row r="3" spans="1:10" ht="24.75" customHeight="1">
      <c r="A3" s="1203" t="s">
        <v>603</v>
      </c>
      <c r="B3" s="1203"/>
      <c r="C3" s="1203"/>
      <c r="D3" s="1203"/>
      <c r="E3" s="1203"/>
      <c r="F3" s="1203"/>
      <c r="G3" s="1203"/>
      <c r="H3" s="1203"/>
      <c r="I3" s="1203"/>
      <c r="J3" s="1203"/>
    </row>
    <row r="4" spans="1:10" ht="16.5">
      <c r="A4" s="454"/>
      <c r="B4" s="455"/>
      <c r="C4" s="430"/>
      <c r="D4" s="430"/>
      <c r="E4" s="431"/>
      <c r="F4" s="431"/>
      <c r="G4" s="431"/>
      <c r="H4" s="431"/>
      <c r="I4" s="431"/>
      <c r="J4" s="431"/>
    </row>
    <row r="5" spans="1:10" s="434" customFormat="1" ht="83.25" customHeight="1">
      <c r="A5" s="432" t="s">
        <v>0</v>
      </c>
      <c r="B5" s="432" t="s">
        <v>287</v>
      </c>
      <c r="C5" s="432" t="s">
        <v>184</v>
      </c>
      <c r="D5" s="433" t="s">
        <v>332</v>
      </c>
      <c r="E5" s="433" t="s">
        <v>333</v>
      </c>
      <c r="F5" s="433" t="s">
        <v>334</v>
      </c>
      <c r="G5" s="433" t="s">
        <v>335</v>
      </c>
      <c r="H5" s="433" t="s">
        <v>336</v>
      </c>
      <c r="I5" s="433" t="s">
        <v>337</v>
      </c>
      <c r="J5" s="433" t="s">
        <v>338</v>
      </c>
    </row>
    <row r="6" spans="1:22" ht="52.5" customHeight="1">
      <c r="A6" s="445">
        <v>1</v>
      </c>
      <c r="B6" s="446" t="s">
        <v>604</v>
      </c>
      <c r="C6" s="437" t="s">
        <v>605</v>
      </c>
      <c r="D6" s="734">
        <v>1.07</v>
      </c>
      <c r="E6" s="735">
        <f>(D6+E7)-E10</f>
        <v>1.17</v>
      </c>
      <c r="F6" s="735">
        <f>(E6+F7)-F10</f>
        <v>1.2799999999999998</v>
      </c>
      <c r="G6" s="735">
        <f>(F6+G7)-G10</f>
        <v>1.4</v>
      </c>
      <c r="H6" s="735">
        <f>(G6+H7)-H10</f>
        <v>1.5299999999999998</v>
      </c>
      <c r="I6" s="735">
        <f>(H6+I7)-I10</f>
        <v>1.6699999999999997</v>
      </c>
      <c r="J6" s="736">
        <f>I6</f>
        <v>1.6699999999999997</v>
      </c>
      <c r="K6" s="447"/>
      <c r="L6" s="737">
        <f>J6-D6</f>
        <v>0.5999999999999996</v>
      </c>
      <c r="M6" s="449"/>
      <c r="N6" s="447"/>
      <c r="P6" s="449"/>
      <c r="Q6" s="447"/>
      <c r="S6" s="449"/>
      <c r="T6" s="447"/>
      <c r="V6" s="449"/>
    </row>
    <row r="7" spans="1:22" ht="52.5" customHeight="1">
      <c r="A7" s="445">
        <v>2</v>
      </c>
      <c r="B7" s="446" t="s">
        <v>606</v>
      </c>
      <c r="C7" s="437" t="s">
        <v>605</v>
      </c>
      <c r="D7" s="734">
        <v>0.528</v>
      </c>
      <c r="E7" s="735">
        <v>0.12</v>
      </c>
      <c r="F7" s="735">
        <v>0.13</v>
      </c>
      <c r="G7" s="735">
        <v>0.14</v>
      </c>
      <c r="H7" s="735">
        <v>0.15</v>
      </c>
      <c r="I7" s="735">
        <v>0.16</v>
      </c>
      <c r="J7" s="736">
        <f>E7+F7+G7+H7+I7</f>
        <v>0.7000000000000001</v>
      </c>
      <c r="K7" s="447"/>
      <c r="M7" s="449"/>
      <c r="N7" s="447"/>
      <c r="P7" s="449"/>
      <c r="Q7" s="447"/>
      <c r="S7" s="449"/>
      <c r="T7" s="447"/>
      <c r="V7" s="449"/>
    </row>
    <row r="8" spans="1:22" ht="52.5" customHeight="1">
      <c r="A8" s="445">
        <v>3</v>
      </c>
      <c r="B8" s="446" t="s">
        <v>607</v>
      </c>
      <c r="C8" s="437" t="s">
        <v>558</v>
      </c>
      <c r="D8" s="734">
        <v>2.211</v>
      </c>
      <c r="E8" s="735">
        <f>(E7*4.2)+10%</f>
        <v>0.604</v>
      </c>
      <c r="F8" s="735">
        <f>(F7*4.2)+10%</f>
        <v>0.646</v>
      </c>
      <c r="G8" s="735">
        <f>(G7*4.2)+10%</f>
        <v>0.6880000000000001</v>
      </c>
      <c r="H8" s="735">
        <f>(H7*4.2)+10%</f>
        <v>0.73</v>
      </c>
      <c r="I8" s="735">
        <f>(I7*4.2)+10%</f>
        <v>0.772</v>
      </c>
      <c r="J8" s="736">
        <f>E8+F8+G8+H8+I8</f>
        <v>3.4400000000000004</v>
      </c>
      <c r="K8" s="447"/>
      <c r="M8" s="449"/>
      <c r="N8" s="447"/>
      <c r="P8" s="449"/>
      <c r="Q8" s="447"/>
      <c r="S8" s="449"/>
      <c r="T8" s="447"/>
      <c r="V8" s="449"/>
    </row>
    <row r="9" spans="1:10" ht="52.5" customHeight="1">
      <c r="A9" s="445">
        <v>4</v>
      </c>
      <c r="B9" s="451" t="s">
        <v>608</v>
      </c>
      <c r="C9" s="437" t="s">
        <v>605</v>
      </c>
      <c r="D9" s="734">
        <v>1.025</v>
      </c>
      <c r="E9" s="735">
        <f>(E6-E10)-0.015</f>
        <v>1.135</v>
      </c>
      <c r="F9" s="735">
        <f>(F6-F10)-0.015</f>
        <v>1.2449999999999999</v>
      </c>
      <c r="G9" s="735">
        <f>(G6-G10)-0.015</f>
        <v>1.365</v>
      </c>
      <c r="H9" s="735">
        <f>(H6-H10)-0.015</f>
        <v>1.4949999999999999</v>
      </c>
      <c r="I9" s="735">
        <f>(I6-I10)-0.015</f>
        <v>1.6349999999999998</v>
      </c>
      <c r="J9" s="736">
        <f>I9</f>
        <v>1.6349999999999998</v>
      </c>
    </row>
    <row r="10" spans="1:10" ht="52.5" customHeight="1">
      <c r="A10" s="445">
        <v>5</v>
      </c>
      <c r="B10" s="451" t="s">
        <v>609</v>
      </c>
      <c r="C10" s="437" t="s">
        <v>605</v>
      </c>
      <c r="D10" s="734">
        <v>0.178</v>
      </c>
      <c r="E10" s="735">
        <v>0.02</v>
      </c>
      <c r="F10" s="735">
        <v>0.02</v>
      </c>
      <c r="G10" s="735">
        <v>0.02</v>
      </c>
      <c r="H10" s="735">
        <v>0.02</v>
      </c>
      <c r="I10" s="735">
        <v>0.02</v>
      </c>
      <c r="J10" s="736">
        <f>E10+F10+G10+H10+I10</f>
        <v>0.1</v>
      </c>
    </row>
    <row r="11" spans="1:10" ht="16.5">
      <c r="A11" s="454"/>
      <c r="B11" s="455"/>
      <c r="C11" s="430"/>
      <c r="D11" s="430"/>
      <c r="E11" s="431"/>
      <c r="F11" s="431"/>
      <c r="G11" s="431"/>
      <c r="H11" s="431"/>
      <c r="I11" s="431"/>
      <c r="J11" s="431"/>
    </row>
    <row r="12" spans="1:11" ht="16.5">
      <c r="A12" s="454"/>
      <c r="B12" s="1228" t="s">
        <v>610</v>
      </c>
      <c r="C12" s="1228"/>
      <c r="D12" s="1228"/>
      <c r="E12" s="431"/>
      <c r="F12" s="431"/>
      <c r="G12" s="431"/>
      <c r="H12" s="431"/>
      <c r="I12" s="431"/>
      <c r="J12" s="431"/>
      <c r="K12" s="431"/>
    </row>
    <row r="13" spans="1:11" ht="30" customHeight="1">
      <c r="A13" s="454"/>
      <c r="B13" s="431" t="s">
        <v>611</v>
      </c>
      <c r="C13" s="431"/>
      <c r="D13" s="431"/>
      <c r="E13" s="431"/>
      <c r="F13" s="431"/>
      <c r="G13" s="431"/>
      <c r="H13" s="431"/>
      <c r="I13" s="431"/>
      <c r="J13" s="431"/>
      <c r="K13" s="431"/>
    </row>
    <row r="14" spans="1:11" ht="23.25" customHeight="1">
      <c r="A14" s="454"/>
      <c r="B14" s="1205" t="s">
        <v>612</v>
      </c>
      <c r="C14" s="1205"/>
      <c r="D14" s="1205"/>
      <c r="E14" s="1205"/>
      <c r="F14" s="1205"/>
      <c r="G14" s="1205"/>
      <c r="H14" s="1205"/>
      <c r="I14" s="1205"/>
      <c r="J14" s="431"/>
      <c r="K14" s="431"/>
    </row>
    <row r="15" spans="1:10" ht="16.5">
      <c r="A15" s="454"/>
      <c r="B15" s="455"/>
      <c r="C15" s="430"/>
      <c r="D15" s="430"/>
      <c r="E15" s="431"/>
      <c r="F15" s="431"/>
      <c r="G15" s="431"/>
      <c r="H15" s="431"/>
      <c r="I15" s="431"/>
      <c r="J15" s="431"/>
    </row>
    <row r="16" spans="1:10" ht="16.5">
      <c r="A16" s="454"/>
      <c r="B16" s="455"/>
      <c r="C16" s="430"/>
      <c r="D16" s="430"/>
      <c r="E16" s="431"/>
      <c r="F16" s="431"/>
      <c r="G16" s="431"/>
      <c r="H16" s="431"/>
      <c r="I16" s="431"/>
      <c r="J16" s="431"/>
    </row>
    <row r="17" spans="1:10" ht="16.5">
      <c r="A17" s="454"/>
      <c r="B17" s="455"/>
      <c r="C17" s="430"/>
      <c r="D17" s="430"/>
      <c r="E17" s="431"/>
      <c r="F17" s="431"/>
      <c r="G17" s="431"/>
      <c r="H17" s="431"/>
      <c r="I17" s="431"/>
      <c r="J17" s="431"/>
    </row>
    <row r="18" spans="1:10" ht="16.5">
      <c r="A18" s="454"/>
      <c r="B18" s="455"/>
      <c r="C18" s="430"/>
      <c r="D18" s="430"/>
      <c r="E18" s="431"/>
      <c r="F18" s="431"/>
      <c r="G18" s="431"/>
      <c r="H18" s="431"/>
      <c r="I18" s="431"/>
      <c r="J18" s="431"/>
    </row>
    <row r="19" spans="1:22" ht="16.5">
      <c r="A19" s="454"/>
      <c r="B19" s="458"/>
      <c r="C19" s="430"/>
      <c r="D19" s="430"/>
      <c r="E19" s="526"/>
      <c r="F19" s="431"/>
      <c r="G19" s="431"/>
      <c r="H19" s="431"/>
      <c r="I19" s="431"/>
      <c r="J19" s="454"/>
      <c r="K19" s="447"/>
      <c r="M19" s="449"/>
      <c r="N19" s="447"/>
      <c r="P19" s="449"/>
      <c r="Q19" s="447"/>
      <c r="S19" s="449"/>
      <c r="T19" s="447"/>
      <c r="V19" s="449"/>
    </row>
    <row r="20" spans="1:20" ht="16.5">
      <c r="A20" s="454"/>
      <c r="B20" s="455"/>
      <c r="C20" s="430"/>
      <c r="D20" s="430"/>
      <c r="E20" s="526"/>
      <c r="F20" s="431"/>
      <c r="G20" s="431"/>
      <c r="H20" s="431"/>
      <c r="I20" s="431"/>
      <c r="J20" s="454"/>
      <c r="K20" s="447"/>
      <c r="M20" s="449"/>
      <c r="N20" s="447"/>
      <c r="P20" s="449"/>
      <c r="Q20" s="447"/>
      <c r="S20" s="449"/>
      <c r="T20" s="447"/>
    </row>
    <row r="21" spans="1:22" ht="16.5">
      <c r="A21" s="454" t="s">
        <v>527</v>
      </c>
      <c r="B21" s="458"/>
      <c r="C21" s="430"/>
      <c r="D21" s="430"/>
      <c r="E21" s="526"/>
      <c r="F21" s="431"/>
      <c r="G21" s="431"/>
      <c r="H21" s="431"/>
      <c r="I21" s="431"/>
      <c r="J21" s="454"/>
      <c r="K21" s="447"/>
      <c r="M21" s="449"/>
      <c r="N21" s="447"/>
      <c r="P21" s="449"/>
      <c r="Q21" s="447"/>
      <c r="S21" s="449"/>
      <c r="T21" s="447"/>
      <c r="V21" s="449"/>
    </row>
    <row r="22" spans="1:20" ht="16.5">
      <c r="A22" s="454"/>
      <c r="B22" s="455"/>
      <c r="C22" s="430"/>
      <c r="D22" s="430"/>
      <c r="E22" s="431"/>
      <c r="F22" s="431"/>
      <c r="G22" s="431"/>
      <c r="H22" s="431"/>
      <c r="I22" s="431"/>
      <c r="J22" s="431"/>
      <c r="K22" s="447"/>
      <c r="M22" s="449"/>
      <c r="N22" s="447"/>
      <c r="P22" s="449"/>
      <c r="Q22" s="447"/>
      <c r="S22" s="449"/>
      <c r="T22" s="447"/>
    </row>
    <row r="23" spans="1:22" ht="16.5">
      <c r="A23" s="454"/>
      <c r="B23" s="458"/>
      <c r="C23" s="430"/>
      <c r="D23" s="430"/>
      <c r="E23" s="526"/>
      <c r="F23" s="431"/>
      <c r="G23" s="431"/>
      <c r="H23" s="431"/>
      <c r="I23" s="431"/>
      <c r="J23" s="431"/>
      <c r="K23" s="447"/>
      <c r="M23" s="449"/>
      <c r="N23" s="447"/>
      <c r="P23" s="449"/>
      <c r="Q23" s="447"/>
      <c r="S23" s="449"/>
      <c r="T23" s="447"/>
      <c r="V23" s="449"/>
    </row>
    <row r="24" spans="1:10" ht="16.5">
      <c r="A24" s="454"/>
      <c r="B24" s="455"/>
      <c r="C24" s="430"/>
      <c r="D24" s="430"/>
      <c r="E24" s="431"/>
      <c r="F24" s="431"/>
      <c r="G24" s="431"/>
      <c r="H24" s="431"/>
      <c r="I24" s="431"/>
      <c r="J24" s="431"/>
    </row>
    <row r="25" spans="1:10" ht="16.5">
      <c r="A25" s="454"/>
      <c r="B25" s="455"/>
      <c r="C25" s="430"/>
      <c r="D25" s="430"/>
      <c r="E25" s="431"/>
      <c r="F25" s="431"/>
      <c r="G25" s="431"/>
      <c r="H25" s="431"/>
      <c r="I25" s="431"/>
      <c r="J25" s="431"/>
    </row>
    <row r="26" spans="1:10" ht="16.5">
      <c r="A26" s="454"/>
      <c r="B26" s="455"/>
      <c r="C26" s="430"/>
      <c r="D26" s="430"/>
      <c r="E26" s="431"/>
      <c r="F26" s="431"/>
      <c r="G26" s="431"/>
      <c r="H26" s="431"/>
      <c r="I26" s="431"/>
      <c r="J26" s="431"/>
    </row>
    <row r="27" spans="1:10" ht="16.5">
      <c r="A27" s="454"/>
      <c r="B27" s="455"/>
      <c r="C27" s="430"/>
      <c r="D27" s="430"/>
      <c r="E27" s="431"/>
      <c r="F27" s="431"/>
      <c r="G27" s="431"/>
      <c r="H27" s="431"/>
      <c r="I27" s="431"/>
      <c r="J27" s="431"/>
    </row>
    <row r="28" spans="1:10" ht="16.5">
      <c r="A28" s="454"/>
      <c r="B28" s="455"/>
      <c r="C28" s="430"/>
      <c r="D28" s="430"/>
      <c r="E28" s="431"/>
      <c r="F28" s="431"/>
      <c r="G28" s="431"/>
      <c r="H28" s="431"/>
      <c r="I28" s="431"/>
      <c r="J28" s="431"/>
    </row>
    <row r="29" spans="1:10" ht="16.5">
      <c r="A29" s="454"/>
      <c r="B29" s="455"/>
      <c r="C29" s="430"/>
      <c r="D29" s="430"/>
      <c r="E29" s="431"/>
      <c r="F29" s="431"/>
      <c r="G29" s="431"/>
      <c r="H29" s="431"/>
      <c r="I29" s="431"/>
      <c r="J29" s="431"/>
    </row>
    <row r="30" spans="1:10" ht="16.5">
      <c r="A30" s="454"/>
      <c r="B30" s="455"/>
      <c r="C30" s="430"/>
      <c r="D30" s="430"/>
      <c r="E30" s="431"/>
      <c r="F30" s="431"/>
      <c r="G30" s="431"/>
      <c r="H30" s="431"/>
      <c r="I30" s="431"/>
      <c r="J30" s="431"/>
    </row>
    <row r="31" spans="1:10" ht="16.5">
      <c r="A31" s="454"/>
      <c r="B31" s="455"/>
      <c r="C31" s="430"/>
      <c r="D31" s="430"/>
      <c r="E31" s="431"/>
      <c r="F31" s="431"/>
      <c r="G31" s="431"/>
      <c r="H31" s="431"/>
      <c r="I31" s="431"/>
      <c r="J31" s="431"/>
    </row>
    <row r="32" spans="1:10" ht="16.5">
      <c r="A32" s="454"/>
      <c r="B32" s="455"/>
      <c r="C32" s="430"/>
      <c r="D32" s="430"/>
      <c r="E32" s="431"/>
      <c r="F32" s="431"/>
      <c r="G32" s="431"/>
      <c r="H32" s="431"/>
      <c r="I32" s="431"/>
      <c r="J32" s="431"/>
    </row>
    <row r="33" spans="1:10" ht="16.5">
      <c r="A33" s="454"/>
      <c r="B33" s="455"/>
      <c r="C33" s="430"/>
      <c r="D33" s="430"/>
      <c r="E33" s="431"/>
      <c r="F33" s="431"/>
      <c r="G33" s="431"/>
      <c r="H33" s="431"/>
      <c r="I33" s="431"/>
      <c r="J33" s="431"/>
    </row>
    <row r="34" spans="1:10" ht="12.75" customHeight="1">
      <c r="A34" s="454"/>
      <c r="B34" s="455"/>
      <c r="C34" s="430"/>
      <c r="D34" s="430"/>
      <c r="E34" s="431"/>
      <c r="F34" s="431"/>
      <c r="G34" s="431"/>
      <c r="H34" s="431"/>
      <c r="I34" s="431"/>
      <c r="J34" s="431"/>
    </row>
    <row r="35" spans="1:10" ht="16.5">
      <c r="A35" s="454"/>
      <c r="B35" s="455"/>
      <c r="C35" s="430"/>
      <c r="D35" s="430"/>
      <c r="E35" s="431"/>
      <c r="F35" s="431"/>
      <c r="G35" s="431"/>
      <c r="H35" s="431"/>
      <c r="I35" s="431"/>
      <c r="J35" s="431"/>
    </row>
    <row r="36" spans="1:22" ht="16.5">
      <c r="A36" s="454"/>
      <c r="B36" s="458"/>
      <c r="C36" s="430"/>
      <c r="D36" s="430"/>
      <c r="E36" s="526"/>
      <c r="F36" s="431"/>
      <c r="G36" s="431"/>
      <c r="H36" s="431"/>
      <c r="I36" s="431"/>
      <c r="J36" s="431"/>
      <c r="K36" s="447"/>
      <c r="M36" s="449"/>
      <c r="N36" s="447"/>
      <c r="P36" s="449"/>
      <c r="Q36" s="447"/>
      <c r="S36" s="449"/>
      <c r="T36" s="447"/>
      <c r="V36" s="449"/>
    </row>
    <row r="37" spans="1:10" ht="16.5">
      <c r="A37" s="454"/>
      <c r="B37" s="455"/>
      <c r="C37" s="430"/>
      <c r="D37" s="430"/>
      <c r="E37" s="431"/>
      <c r="F37" s="431"/>
      <c r="G37" s="431"/>
      <c r="H37" s="431"/>
      <c r="I37" s="431"/>
      <c r="J37" s="431"/>
    </row>
    <row r="38" spans="1:10" ht="16.5">
      <c r="A38" s="454"/>
      <c r="B38" s="455"/>
      <c r="C38" s="430"/>
      <c r="D38" s="430"/>
      <c r="E38" s="431"/>
      <c r="F38" s="431"/>
      <c r="G38" s="431"/>
      <c r="H38" s="431"/>
      <c r="I38" s="431"/>
      <c r="J38" s="431"/>
    </row>
    <row r="39" spans="1:10" ht="16.5">
      <c r="A39" s="454"/>
      <c r="B39" s="455"/>
      <c r="C39" s="430"/>
      <c r="D39" s="430"/>
      <c r="E39" s="431"/>
      <c r="F39" s="431"/>
      <c r="G39" s="431"/>
      <c r="H39" s="431"/>
      <c r="I39" s="431"/>
      <c r="J39" s="431"/>
    </row>
    <row r="40" spans="1:10" ht="16.5">
      <c r="A40" s="454"/>
      <c r="B40" s="455"/>
      <c r="C40" s="430"/>
      <c r="D40" s="430"/>
      <c r="E40" s="431"/>
      <c r="F40" s="431"/>
      <c r="G40" s="431"/>
      <c r="H40" s="431"/>
      <c r="I40" s="431"/>
      <c r="J40" s="431"/>
    </row>
    <row r="41" spans="1:10" ht="16.5">
      <c r="A41" s="454"/>
      <c r="B41" s="455"/>
      <c r="C41" s="430"/>
      <c r="D41" s="430"/>
      <c r="E41" s="431"/>
      <c r="F41" s="431"/>
      <c r="G41" s="431"/>
      <c r="H41" s="431"/>
      <c r="I41" s="431"/>
      <c r="J41" s="431"/>
    </row>
    <row r="42" spans="1:10" ht="16.5">
      <c r="A42" s="454"/>
      <c r="B42" s="455"/>
      <c r="C42" s="430"/>
      <c r="D42" s="430"/>
      <c r="E42" s="431"/>
      <c r="F42" s="431"/>
      <c r="G42" s="431"/>
      <c r="H42" s="431"/>
      <c r="I42" s="431"/>
      <c r="J42" s="431"/>
    </row>
    <row r="43" spans="1:10" ht="16.5">
      <c r="A43" s="454"/>
      <c r="B43" s="455"/>
      <c r="C43" s="430"/>
      <c r="D43" s="430"/>
      <c r="E43" s="431"/>
      <c r="F43" s="431"/>
      <c r="G43" s="431"/>
      <c r="H43" s="431"/>
      <c r="I43" s="431"/>
      <c r="J43" s="431"/>
    </row>
    <row r="44" spans="1:10" ht="16.5">
      <c r="A44" s="454"/>
      <c r="B44" s="455"/>
      <c r="C44" s="430"/>
      <c r="D44" s="430"/>
      <c r="E44" s="431"/>
      <c r="F44" s="431"/>
      <c r="G44" s="431"/>
      <c r="H44" s="431"/>
      <c r="I44" s="431"/>
      <c r="J44" s="431"/>
    </row>
    <row r="45" spans="1:10" ht="16.5">
      <c r="A45" s="454"/>
      <c r="B45" s="455"/>
      <c r="C45" s="430"/>
      <c r="D45" s="430"/>
      <c r="E45" s="431"/>
      <c r="F45" s="431"/>
      <c r="G45" s="431"/>
      <c r="H45" s="431"/>
      <c r="I45" s="431"/>
      <c r="J45" s="431"/>
    </row>
    <row r="46" spans="1:10" ht="16.5">
      <c r="A46" s="454"/>
      <c r="B46" s="455"/>
      <c r="C46" s="430"/>
      <c r="D46" s="430"/>
      <c r="E46" s="431"/>
      <c r="F46" s="431"/>
      <c r="G46" s="431"/>
      <c r="H46" s="431"/>
      <c r="I46" s="431"/>
      <c r="J46" s="431"/>
    </row>
    <row r="47" spans="1:10" ht="16.5">
      <c r="A47" s="454"/>
      <c r="B47" s="455"/>
      <c r="C47" s="430"/>
      <c r="D47" s="430"/>
      <c r="E47" s="431"/>
      <c r="F47" s="431"/>
      <c r="G47" s="431"/>
      <c r="H47" s="431"/>
      <c r="I47" s="431"/>
      <c r="J47" s="431"/>
    </row>
    <row r="48" spans="1:10" ht="16.5">
      <c r="A48" s="454"/>
      <c r="B48" s="455"/>
      <c r="C48" s="430"/>
      <c r="D48" s="430"/>
      <c r="E48" s="431"/>
      <c r="F48" s="431"/>
      <c r="G48" s="431"/>
      <c r="H48" s="431"/>
      <c r="I48" s="431"/>
      <c r="J48" s="431"/>
    </row>
    <row r="49" spans="1:10" ht="16.5">
      <c r="A49" s="454"/>
      <c r="B49" s="455"/>
      <c r="C49" s="430"/>
      <c r="D49" s="430"/>
      <c r="E49" s="431"/>
      <c r="F49" s="431"/>
      <c r="G49" s="431"/>
      <c r="H49" s="431"/>
      <c r="I49" s="431"/>
      <c r="J49" s="431"/>
    </row>
    <row r="50" spans="1:10" ht="16.5">
      <c r="A50" s="454"/>
      <c r="B50" s="455"/>
      <c r="C50" s="430"/>
      <c r="D50" s="430"/>
      <c r="E50" s="431"/>
      <c r="F50" s="431"/>
      <c r="G50" s="431"/>
      <c r="H50" s="431"/>
      <c r="I50" s="431"/>
      <c r="J50" s="431"/>
    </row>
    <row r="51" spans="1:10" ht="16.5">
      <c r="A51" s="454"/>
      <c r="B51" s="455"/>
      <c r="C51" s="430"/>
      <c r="D51" s="430"/>
      <c r="E51" s="431"/>
      <c r="F51" s="431"/>
      <c r="G51" s="431"/>
      <c r="H51" s="431"/>
      <c r="I51" s="431"/>
      <c r="J51" s="431"/>
    </row>
    <row r="52" spans="1:10" ht="16.5">
      <c r="A52" s="454"/>
      <c r="B52" s="455"/>
      <c r="C52" s="430"/>
      <c r="D52" s="430"/>
      <c r="E52" s="431"/>
      <c r="F52" s="431"/>
      <c r="G52" s="431"/>
      <c r="H52" s="431"/>
      <c r="I52" s="431"/>
      <c r="J52" s="431"/>
    </row>
    <row r="53" spans="1:10" ht="16.5">
      <c r="A53" s="454"/>
      <c r="B53" s="455"/>
      <c r="C53" s="430"/>
      <c r="D53" s="430"/>
      <c r="E53" s="431"/>
      <c r="F53" s="431"/>
      <c r="G53" s="431"/>
      <c r="H53" s="431"/>
      <c r="I53" s="431"/>
      <c r="J53" s="431"/>
    </row>
    <row r="54" spans="1:10" ht="16.5">
      <c r="A54" s="454"/>
      <c r="B54" s="455"/>
      <c r="C54" s="430"/>
      <c r="D54" s="430"/>
      <c r="E54" s="431"/>
      <c r="F54" s="431"/>
      <c r="G54" s="431"/>
      <c r="H54" s="431"/>
      <c r="I54" s="431"/>
      <c r="J54" s="431"/>
    </row>
    <row r="55" spans="1:10" ht="16.5">
      <c r="A55" s="454"/>
      <c r="B55" s="455"/>
      <c r="C55" s="430"/>
      <c r="D55" s="430"/>
      <c r="E55" s="431"/>
      <c r="F55" s="431"/>
      <c r="G55" s="431"/>
      <c r="H55" s="431"/>
      <c r="I55" s="431"/>
      <c r="J55" s="431"/>
    </row>
    <row r="56" spans="1:10" ht="16.5">
      <c r="A56" s="454"/>
      <c r="B56" s="455"/>
      <c r="C56" s="430"/>
      <c r="D56" s="430"/>
      <c r="E56" s="431"/>
      <c r="F56" s="431"/>
      <c r="G56" s="431"/>
      <c r="H56" s="431"/>
      <c r="I56" s="431"/>
      <c r="J56" s="431"/>
    </row>
    <row r="57" spans="1:10" ht="16.5">
      <c r="A57" s="454"/>
      <c r="B57" s="455"/>
      <c r="C57" s="430"/>
      <c r="D57" s="430"/>
      <c r="E57" s="431"/>
      <c r="F57" s="431"/>
      <c r="G57" s="431"/>
      <c r="H57" s="431"/>
      <c r="I57" s="431"/>
      <c r="J57" s="431"/>
    </row>
    <row r="58" spans="1:10" ht="16.5">
      <c r="A58" s="454"/>
      <c r="B58" s="455"/>
      <c r="C58" s="430"/>
      <c r="D58" s="430"/>
      <c r="E58" s="431"/>
      <c r="F58" s="431"/>
      <c r="G58" s="431"/>
      <c r="H58" s="431"/>
      <c r="I58" s="431"/>
      <c r="J58" s="431"/>
    </row>
    <row r="59" spans="1:10" ht="16.5">
      <c r="A59" s="454"/>
      <c r="B59" s="455"/>
      <c r="C59" s="430"/>
      <c r="D59" s="430"/>
      <c r="E59" s="431"/>
      <c r="F59" s="431"/>
      <c r="G59" s="431"/>
      <c r="H59" s="431"/>
      <c r="I59" s="431"/>
      <c r="J59" s="431"/>
    </row>
    <row r="60" spans="1:10" ht="16.5">
      <c r="A60" s="454"/>
      <c r="B60" s="455"/>
      <c r="C60" s="430"/>
      <c r="D60" s="430"/>
      <c r="E60" s="431"/>
      <c r="F60" s="431"/>
      <c r="G60" s="431"/>
      <c r="H60" s="431"/>
      <c r="I60" s="431"/>
      <c r="J60" s="431"/>
    </row>
    <row r="61" spans="1:10" ht="16.5">
      <c r="A61" s="454"/>
      <c r="B61" s="455"/>
      <c r="C61" s="430"/>
      <c r="D61" s="430"/>
      <c r="E61" s="431"/>
      <c r="F61" s="431"/>
      <c r="G61" s="431"/>
      <c r="H61" s="431"/>
      <c r="I61" s="431"/>
      <c r="J61" s="431"/>
    </row>
    <row r="62" spans="1:10" ht="16.5">
      <c r="A62" s="454"/>
      <c r="B62" s="455"/>
      <c r="C62" s="430"/>
      <c r="D62" s="430"/>
      <c r="E62" s="431"/>
      <c r="F62" s="431"/>
      <c r="G62" s="431"/>
      <c r="H62" s="431"/>
      <c r="I62" s="431"/>
      <c r="J62" s="431"/>
    </row>
    <row r="63" spans="1:10" ht="16.5">
      <c r="A63" s="454"/>
      <c r="B63" s="455"/>
      <c r="C63" s="430"/>
      <c r="D63" s="430"/>
      <c r="E63" s="431"/>
      <c r="F63" s="431"/>
      <c r="G63" s="431"/>
      <c r="H63" s="431"/>
      <c r="I63" s="431"/>
      <c r="J63" s="431"/>
    </row>
    <row r="64" spans="1:10" ht="16.5">
      <c r="A64" s="454"/>
      <c r="B64" s="455"/>
      <c r="C64" s="430"/>
      <c r="D64" s="430"/>
      <c r="E64" s="431"/>
      <c r="F64" s="431"/>
      <c r="G64" s="431"/>
      <c r="H64" s="431"/>
      <c r="I64" s="431"/>
      <c r="J64" s="431"/>
    </row>
    <row r="65" spans="1:10" ht="16.5">
      <c r="A65" s="454"/>
      <c r="B65" s="455"/>
      <c r="C65" s="430"/>
      <c r="D65" s="430"/>
      <c r="E65" s="431"/>
      <c r="F65" s="431"/>
      <c r="G65" s="431"/>
      <c r="H65" s="431"/>
      <c r="I65" s="431"/>
      <c r="J65" s="431"/>
    </row>
    <row r="66" spans="1:10" ht="16.5">
      <c r="A66" s="454"/>
      <c r="B66" s="455"/>
      <c r="C66" s="430"/>
      <c r="D66" s="430"/>
      <c r="E66" s="431"/>
      <c r="F66" s="431"/>
      <c r="G66" s="431"/>
      <c r="H66" s="431"/>
      <c r="I66" s="431"/>
      <c r="J66" s="431"/>
    </row>
    <row r="67" spans="1:10" ht="16.5">
      <c r="A67" s="454"/>
      <c r="B67" s="455"/>
      <c r="C67" s="430"/>
      <c r="D67" s="430"/>
      <c r="E67" s="431"/>
      <c r="F67" s="431"/>
      <c r="G67" s="431"/>
      <c r="H67" s="431"/>
      <c r="I67" s="431"/>
      <c r="J67" s="431"/>
    </row>
    <row r="68" spans="1:10" ht="16.5">
      <c r="A68" s="454"/>
      <c r="B68" s="455"/>
      <c r="C68" s="430"/>
      <c r="D68" s="430"/>
      <c r="E68" s="431"/>
      <c r="F68" s="431"/>
      <c r="G68" s="431"/>
      <c r="H68" s="431"/>
      <c r="I68" s="431"/>
      <c r="J68" s="431"/>
    </row>
    <row r="69" spans="1:10" ht="16.5">
      <c r="A69" s="454"/>
      <c r="B69" s="455"/>
      <c r="C69" s="430"/>
      <c r="D69" s="430"/>
      <c r="E69" s="431"/>
      <c r="F69" s="431"/>
      <c r="G69" s="431"/>
      <c r="H69" s="431"/>
      <c r="I69" s="431"/>
      <c r="J69" s="431"/>
    </row>
    <row r="70" spans="1:10" ht="16.5">
      <c r="A70" s="454"/>
      <c r="B70" s="455"/>
      <c r="C70" s="430"/>
      <c r="D70" s="430"/>
      <c r="E70" s="431"/>
      <c r="F70" s="431"/>
      <c r="G70" s="431"/>
      <c r="H70" s="431"/>
      <c r="I70" s="431"/>
      <c r="J70" s="431"/>
    </row>
    <row r="71" spans="1:10" ht="16.5">
      <c r="A71" s="454"/>
      <c r="B71" s="455"/>
      <c r="C71" s="430"/>
      <c r="D71" s="430"/>
      <c r="E71" s="431"/>
      <c r="F71" s="431"/>
      <c r="G71" s="431"/>
      <c r="H71" s="431"/>
      <c r="I71" s="431"/>
      <c r="J71" s="431"/>
    </row>
    <row r="72" spans="1:10" ht="16.5">
      <c r="A72" s="454"/>
      <c r="B72" s="455"/>
      <c r="C72" s="430"/>
      <c r="D72" s="430"/>
      <c r="E72" s="431"/>
      <c r="F72" s="431"/>
      <c r="G72" s="431"/>
      <c r="H72" s="431"/>
      <c r="I72" s="431"/>
      <c r="J72" s="431"/>
    </row>
    <row r="73" spans="1:10" ht="16.5">
      <c r="A73" s="454"/>
      <c r="B73" s="455"/>
      <c r="C73" s="430"/>
      <c r="D73" s="430"/>
      <c r="E73" s="431"/>
      <c r="F73" s="431"/>
      <c r="G73" s="431"/>
      <c r="H73" s="431"/>
      <c r="I73" s="431"/>
      <c r="J73" s="431"/>
    </row>
    <row r="74" spans="1:10" ht="16.5">
      <c r="A74" s="454"/>
      <c r="B74" s="455"/>
      <c r="C74" s="430"/>
      <c r="D74" s="430"/>
      <c r="E74" s="431"/>
      <c r="F74" s="431"/>
      <c r="G74" s="431"/>
      <c r="H74" s="431"/>
      <c r="I74" s="431"/>
      <c r="J74" s="431"/>
    </row>
    <row r="75" spans="1:10" ht="16.5">
      <c r="A75" s="454"/>
      <c r="B75" s="455"/>
      <c r="C75" s="430"/>
      <c r="D75" s="430"/>
      <c r="E75" s="431"/>
      <c r="F75" s="431"/>
      <c r="G75" s="431"/>
      <c r="H75" s="431"/>
      <c r="I75" s="431"/>
      <c r="J75" s="431"/>
    </row>
    <row r="76" spans="1:10" ht="16.5">
      <c r="A76" s="454"/>
      <c r="B76" s="455"/>
      <c r="C76" s="430"/>
      <c r="D76" s="430"/>
      <c r="E76" s="431"/>
      <c r="F76" s="431"/>
      <c r="G76" s="431"/>
      <c r="H76" s="431"/>
      <c r="I76" s="431"/>
      <c r="J76" s="431"/>
    </row>
    <row r="77" spans="1:10" ht="16.5">
      <c r="A77" s="454"/>
      <c r="B77" s="455"/>
      <c r="C77" s="430"/>
      <c r="D77" s="430"/>
      <c r="E77" s="431"/>
      <c r="F77" s="431"/>
      <c r="G77" s="431"/>
      <c r="H77" s="431"/>
      <c r="I77" s="431"/>
      <c r="J77" s="431"/>
    </row>
    <row r="78" spans="1:10" ht="16.5">
      <c r="A78" s="454"/>
      <c r="B78" s="455"/>
      <c r="C78" s="430"/>
      <c r="D78" s="430"/>
      <c r="E78" s="431"/>
      <c r="F78" s="431"/>
      <c r="G78" s="431"/>
      <c r="H78" s="431"/>
      <c r="I78" s="431"/>
      <c r="J78" s="431"/>
    </row>
    <row r="79" spans="1:10" ht="16.5">
      <c r="A79" s="454"/>
      <c r="B79" s="455"/>
      <c r="C79" s="430"/>
      <c r="D79" s="430"/>
      <c r="E79" s="431"/>
      <c r="F79" s="431"/>
      <c r="G79" s="431"/>
      <c r="H79" s="431"/>
      <c r="I79" s="431"/>
      <c r="J79" s="431"/>
    </row>
    <row r="80" spans="1:10" ht="16.5">
      <c r="A80" s="454"/>
      <c r="B80" s="455"/>
      <c r="C80" s="430"/>
      <c r="D80" s="430"/>
      <c r="E80" s="431"/>
      <c r="F80" s="431"/>
      <c r="G80" s="431"/>
      <c r="H80" s="431"/>
      <c r="I80" s="431"/>
      <c r="J80" s="431"/>
    </row>
    <row r="81" spans="1:10" ht="16.5">
      <c r="A81" s="454"/>
      <c r="B81" s="455"/>
      <c r="C81" s="430"/>
      <c r="D81" s="430"/>
      <c r="E81" s="431"/>
      <c r="F81" s="431"/>
      <c r="G81" s="431"/>
      <c r="H81" s="431"/>
      <c r="I81" s="431"/>
      <c r="J81" s="431"/>
    </row>
    <row r="82" spans="1:10" ht="16.5">
      <c r="A82" s="454"/>
      <c r="B82" s="455"/>
      <c r="C82" s="430"/>
      <c r="D82" s="430"/>
      <c r="E82" s="431"/>
      <c r="F82" s="431"/>
      <c r="G82" s="431"/>
      <c r="H82" s="431"/>
      <c r="I82" s="431"/>
      <c r="J82" s="431"/>
    </row>
    <row r="83" spans="1:10" ht="16.5">
      <c r="A83" s="454"/>
      <c r="B83" s="455"/>
      <c r="C83" s="430"/>
      <c r="D83" s="430"/>
      <c r="E83" s="431"/>
      <c r="F83" s="431"/>
      <c r="G83" s="431"/>
      <c r="H83" s="431"/>
      <c r="I83" s="431"/>
      <c r="J83" s="431"/>
    </row>
    <row r="84" spans="1:10" ht="16.5">
      <c r="A84" s="454"/>
      <c r="B84" s="455"/>
      <c r="C84" s="430"/>
      <c r="D84" s="430"/>
      <c r="E84" s="431"/>
      <c r="F84" s="431"/>
      <c r="G84" s="431"/>
      <c r="H84" s="431"/>
      <c r="I84" s="431"/>
      <c r="J84" s="431"/>
    </row>
    <row r="85" spans="1:10" ht="16.5">
      <c r="A85" s="454"/>
      <c r="B85" s="455"/>
      <c r="C85" s="430"/>
      <c r="D85" s="430"/>
      <c r="E85" s="431"/>
      <c r="F85" s="431"/>
      <c r="G85" s="431"/>
      <c r="H85" s="431"/>
      <c r="I85" s="431"/>
      <c r="J85" s="431"/>
    </row>
    <row r="86" spans="1:10" ht="16.5">
      <c r="A86" s="454"/>
      <c r="B86" s="455"/>
      <c r="C86" s="430"/>
      <c r="D86" s="430"/>
      <c r="E86" s="431"/>
      <c r="F86" s="431"/>
      <c r="G86" s="431"/>
      <c r="H86" s="431"/>
      <c r="I86" s="431"/>
      <c r="J86" s="431"/>
    </row>
    <row r="87" spans="1:10" ht="16.5">
      <c r="A87" s="454"/>
      <c r="B87" s="455"/>
      <c r="C87" s="430"/>
      <c r="D87" s="430"/>
      <c r="E87" s="431"/>
      <c r="F87" s="431"/>
      <c r="G87" s="431"/>
      <c r="H87" s="431"/>
      <c r="I87" s="431"/>
      <c r="J87" s="431"/>
    </row>
    <row r="88" spans="1:10" ht="16.5">
      <c r="A88" s="454"/>
      <c r="B88" s="455"/>
      <c r="C88" s="430"/>
      <c r="D88" s="430"/>
      <c r="E88" s="431"/>
      <c r="F88" s="431"/>
      <c r="G88" s="431"/>
      <c r="H88" s="431"/>
      <c r="I88" s="431"/>
      <c r="J88" s="431"/>
    </row>
    <row r="89" spans="1:10" ht="16.5">
      <c r="A89" s="454"/>
      <c r="B89" s="455"/>
      <c r="C89" s="430"/>
      <c r="D89" s="430"/>
      <c r="E89" s="431"/>
      <c r="F89" s="431"/>
      <c r="G89" s="431"/>
      <c r="H89" s="431"/>
      <c r="I89" s="431"/>
      <c r="J89" s="431"/>
    </row>
    <row r="90" spans="1:10" ht="16.5">
      <c r="A90" s="454"/>
      <c r="B90" s="455"/>
      <c r="C90" s="430"/>
      <c r="D90" s="430"/>
      <c r="E90" s="431"/>
      <c r="F90" s="431"/>
      <c r="G90" s="431"/>
      <c r="H90" s="431"/>
      <c r="I90" s="431"/>
      <c r="J90" s="431"/>
    </row>
    <row r="91" spans="1:10" ht="16.5">
      <c r="A91" s="454"/>
      <c r="B91" s="455"/>
      <c r="C91" s="430"/>
      <c r="D91" s="430"/>
      <c r="E91" s="431"/>
      <c r="F91" s="431"/>
      <c r="G91" s="431"/>
      <c r="H91" s="431"/>
      <c r="I91" s="431"/>
      <c r="J91" s="431"/>
    </row>
    <row r="92" spans="1:10" ht="16.5">
      <c r="A92" s="454"/>
      <c r="B92" s="455"/>
      <c r="C92" s="430"/>
      <c r="D92" s="430"/>
      <c r="E92" s="431"/>
      <c r="F92" s="431"/>
      <c r="G92" s="431"/>
      <c r="H92" s="431"/>
      <c r="I92" s="431"/>
      <c r="J92" s="431"/>
    </row>
    <row r="93" spans="1:10" ht="16.5">
      <c r="A93" s="454"/>
      <c r="B93" s="455"/>
      <c r="C93" s="430"/>
      <c r="D93" s="430"/>
      <c r="E93" s="431"/>
      <c r="F93" s="431"/>
      <c r="G93" s="431"/>
      <c r="H93" s="431"/>
      <c r="I93" s="431"/>
      <c r="J93" s="431"/>
    </row>
    <row r="94" spans="1:10" ht="16.5">
      <c r="A94" s="454"/>
      <c r="B94" s="455"/>
      <c r="C94" s="430"/>
      <c r="D94" s="430"/>
      <c r="E94" s="431"/>
      <c r="F94" s="431"/>
      <c r="G94" s="431"/>
      <c r="H94" s="431"/>
      <c r="I94" s="431"/>
      <c r="J94" s="431"/>
    </row>
    <row r="95" spans="1:10" ht="16.5">
      <c r="A95" s="454"/>
      <c r="B95" s="455"/>
      <c r="C95" s="430"/>
      <c r="D95" s="430"/>
      <c r="E95" s="431"/>
      <c r="F95" s="431"/>
      <c r="G95" s="431"/>
      <c r="H95" s="431"/>
      <c r="I95" s="431"/>
      <c r="J95" s="431"/>
    </row>
    <row r="96" spans="1:10" ht="16.5">
      <c r="A96" s="454"/>
      <c r="B96" s="455"/>
      <c r="C96" s="430"/>
      <c r="D96" s="430"/>
      <c r="E96" s="431"/>
      <c r="F96" s="431"/>
      <c r="G96" s="431"/>
      <c r="H96" s="431"/>
      <c r="I96" s="431"/>
      <c r="J96" s="431"/>
    </row>
    <row r="97" spans="1:10" ht="16.5">
      <c r="A97" s="454"/>
      <c r="B97" s="455"/>
      <c r="C97" s="430"/>
      <c r="D97" s="430"/>
      <c r="E97" s="431"/>
      <c r="F97" s="431"/>
      <c r="G97" s="431"/>
      <c r="H97" s="431"/>
      <c r="I97" s="431"/>
      <c r="J97" s="431"/>
    </row>
    <row r="98" spans="1:10" ht="16.5">
      <c r="A98" s="454"/>
      <c r="B98" s="455"/>
      <c r="C98" s="430"/>
      <c r="D98" s="430"/>
      <c r="E98" s="431"/>
      <c r="F98" s="431"/>
      <c r="G98" s="431"/>
      <c r="H98" s="431"/>
      <c r="I98" s="431"/>
      <c r="J98" s="431"/>
    </row>
    <row r="99" spans="1:10" ht="16.5">
      <c r="A99" s="454"/>
      <c r="B99" s="455"/>
      <c r="C99" s="430"/>
      <c r="D99" s="430"/>
      <c r="E99" s="431"/>
      <c r="F99" s="431"/>
      <c r="G99" s="431"/>
      <c r="H99" s="431"/>
      <c r="I99" s="431"/>
      <c r="J99" s="431"/>
    </row>
    <row r="100" spans="1:10" ht="16.5">
      <c r="A100" s="454"/>
      <c r="B100" s="455"/>
      <c r="C100" s="430"/>
      <c r="D100" s="430"/>
      <c r="E100" s="431"/>
      <c r="F100" s="431"/>
      <c r="G100" s="431"/>
      <c r="H100" s="431"/>
      <c r="I100" s="431"/>
      <c r="J100" s="431"/>
    </row>
    <row r="101" spans="1:10" ht="16.5">
      <c r="A101" s="454"/>
      <c r="B101" s="455"/>
      <c r="C101" s="430"/>
      <c r="D101" s="430"/>
      <c r="E101" s="431"/>
      <c r="F101" s="431"/>
      <c r="G101" s="431"/>
      <c r="H101" s="431"/>
      <c r="I101" s="431"/>
      <c r="J101" s="431"/>
    </row>
    <row r="102" spans="1:10" ht="16.5">
      <c r="A102" s="454"/>
      <c r="B102" s="455"/>
      <c r="C102" s="430"/>
      <c r="D102" s="430"/>
      <c r="E102" s="431"/>
      <c r="F102" s="431"/>
      <c r="G102" s="431"/>
      <c r="H102" s="431"/>
      <c r="I102" s="431"/>
      <c r="J102" s="431"/>
    </row>
    <row r="103" spans="1:10" ht="16.5">
      <c r="A103" s="454"/>
      <c r="B103" s="455"/>
      <c r="C103" s="430"/>
      <c r="D103" s="430"/>
      <c r="E103" s="431"/>
      <c r="F103" s="431"/>
      <c r="G103" s="431"/>
      <c r="H103" s="431"/>
      <c r="I103" s="431"/>
      <c r="J103" s="431"/>
    </row>
    <row r="104" spans="1:10" ht="16.5">
      <c r="A104" s="454"/>
      <c r="B104" s="455"/>
      <c r="C104" s="430"/>
      <c r="D104" s="430"/>
      <c r="E104" s="431"/>
      <c r="F104" s="431"/>
      <c r="G104" s="431"/>
      <c r="H104" s="431"/>
      <c r="I104" s="431"/>
      <c r="J104" s="431"/>
    </row>
    <row r="105" spans="1:10" ht="16.5">
      <c r="A105" s="454"/>
      <c r="B105" s="455"/>
      <c r="C105" s="430"/>
      <c r="D105" s="430"/>
      <c r="E105" s="431"/>
      <c r="F105" s="431"/>
      <c r="G105" s="431"/>
      <c r="H105" s="431"/>
      <c r="I105" s="431"/>
      <c r="J105" s="431"/>
    </row>
    <row r="106" spans="1:10" ht="16.5">
      <c r="A106" s="454"/>
      <c r="B106" s="455"/>
      <c r="C106" s="430"/>
      <c r="D106" s="430"/>
      <c r="E106" s="431"/>
      <c r="F106" s="431"/>
      <c r="G106" s="431"/>
      <c r="H106" s="431"/>
      <c r="I106" s="431"/>
      <c r="J106" s="431"/>
    </row>
    <row r="107" spans="1:10" ht="16.5">
      <c r="A107" s="454"/>
      <c r="B107" s="455"/>
      <c r="C107" s="430"/>
      <c r="D107" s="430"/>
      <c r="E107" s="431"/>
      <c r="F107" s="431"/>
      <c r="G107" s="431"/>
      <c r="H107" s="431"/>
      <c r="I107" s="431"/>
      <c r="J107" s="431"/>
    </row>
    <row r="108" spans="1:10" ht="16.5">
      <c r="A108" s="454"/>
      <c r="B108" s="455"/>
      <c r="C108" s="430"/>
      <c r="D108" s="430"/>
      <c r="E108" s="431"/>
      <c r="F108" s="431"/>
      <c r="G108" s="431"/>
      <c r="H108" s="431"/>
      <c r="I108" s="431"/>
      <c r="J108" s="431"/>
    </row>
    <row r="109" spans="1:10" ht="16.5">
      <c r="A109" s="454"/>
      <c r="B109" s="455"/>
      <c r="C109" s="430"/>
      <c r="D109" s="430"/>
      <c r="E109" s="431"/>
      <c r="F109" s="431"/>
      <c r="G109" s="431"/>
      <c r="H109" s="431"/>
      <c r="I109" s="431"/>
      <c r="J109" s="431"/>
    </row>
    <row r="110" spans="1:10" ht="16.5">
      <c r="A110" s="454"/>
      <c r="B110" s="455"/>
      <c r="C110" s="430"/>
      <c r="D110" s="430"/>
      <c r="E110" s="431"/>
      <c r="F110" s="431"/>
      <c r="G110" s="431"/>
      <c r="H110" s="431"/>
      <c r="I110" s="431"/>
      <c r="J110" s="431"/>
    </row>
    <row r="111" spans="1:10" ht="16.5">
      <c r="A111" s="454"/>
      <c r="B111" s="455"/>
      <c r="C111" s="430"/>
      <c r="D111" s="430"/>
      <c r="E111" s="431"/>
      <c r="F111" s="431"/>
      <c r="G111" s="431"/>
      <c r="H111" s="431"/>
      <c r="I111" s="431"/>
      <c r="J111" s="431"/>
    </row>
    <row r="112" spans="1:10" ht="16.5">
      <c r="A112" s="454"/>
      <c r="B112" s="455"/>
      <c r="C112" s="430"/>
      <c r="D112" s="430"/>
      <c r="E112" s="431"/>
      <c r="F112" s="431"/>
      <c r="G112" s="431"/>
      <c r="H112" s="431"/>
      <c r="I112" s="431"/>
      <c r="J112" s="431"/>
    </row>
    <row r="113" spans="1:10" ht="16.5">
      <c r="A113" s="454"/>
      <c r="B113" s="455"/>
      <c r="C113" s="430"/>
      <c r="D113" s="430"/>
      <c r="E113" s="431"/>
      <c r="F113" s="431"/>
      <c r="G113" s="431"/>
      <c r="H113" s="431"/>
      <c r="I113" s="431"/>
      <c r="J113" s="431"/>
    </row>
    <row r="114" spans="1:10" ht="16.5">
      <c r="A114" s="454"/>
      <c r="B114" s="455"/>
      <c r="C114" s="430"/>
      <c r="D114" s="430"/>
      <c r="E114" s="431"/>
      <c r="F114" s="431"/>
      <c r="G114" s="431"/>
      <c r="H114" s="431"/>
      <c r="I114" s="431"/>
      <c r="J114" s="431"/>
    </row>
    <row r="115" spans="1:10" ht="16.5">
      <c r="A115" s="454"/>
      <c r="B115" s="455"/>
      <c r="C115" s="430"/>
      <c r="D115" s="430"/>
      <c r="E115" s="431"/>
      <c r="F115" s="431"/>
      <c r="G115" s="431"/>
      <c r="H115" s="431"/>
      <c r="I115" s="431"/>
      <c r="J115" s="431"/>
    </row>
    <row r="116" spans="1:10" ht="16.5">
      <c r="A116" s="454"/>
      <c r="B116" s="455"/>
      <c r="C116" s="430"/>
      <c r="D116" s="430"/>
      <c r="E116" s="431"/>
      <c r="F116" s="431"/>
      <c r="G116" s="431"/>
      <c r="H116" s="431"/>
      <c r="I116" s="431"/>
      <c r="J116" s="431"/>
    </row>
    <row r="117" spans="1:10" ht="16.5">
      <c r="A117" s="454"/>
      <c r="B117" s="455"/>
      <c r="C117" s="430"/>
      <c r="D117" s="430"/>
      <c r="E117" s="431"/>
      <c r="F117" s="431"/>
      <c r="G117" s="431"/>
      <c r="H117" s="431"/>
      <c r="I117" s="431"/>
      <c r="J117" s="431"/>
    </row>
    <row r="118" spans="1:10" ht="16.5">
      <c r="A118" s="454"/>
      <c r="B118" s="455"/>
      <c r="C118" s="430"/>
      <c r="D118" s="430"/>
      <c r="E118" s="431"/>
      <c r="F118" s="431"/>
      <c r="G118" s="431"/>
      <c r="H118" s="431"/>
      <c r="I118" s="431"/>
      <c r="J118" s="431"/>
    </row>
    <row r="119" spans="1:10" ht="16.5">
      <c r="A119" s="454"/>
      <c r="B119" s="455"/>
      <c r="C119" s="430"/>
      <c r="D119" s="430"/>
      <c r="E119" s="431"/>
      <c r="F119" s="431"/>
      <c r="G119" s="431"/>
      <c r="H119" s="431"/>
      <c r="I119" s="431"/>
      <c r="J119" s="431"/>
    </row>
    <row r="120" spans="1:10" ht="16.5">
      <c r="A120" s="454"/>
      <c r="B120" s="455"/>
      <c r="C120" s="430"/>
      <c r="D120" s="430"/>
      <c r="E120" s="431"/>
      <c r="F120" s="431"/>
      <c r="G120" s="431"/>
      <c r="H120" s="431"/>
      <c r="I120" s="431"/>
      <c r="J120" s="431"/>
    </row>
    <row r="121" spans="1:10" ht="16.5">
      <c r="A121" s="454"/>
      <c r="B121" s="455"/>
      <c r="C121" s="430"/>
      <c r="D121" s="430"/>
      <c r="E121" s="431"/>
      <c r="F121" s="431"/>
      <c r="G121" s="431"/>
      <c r="H121" s="431"/>
      <c r="I121" s="431"/>
      <c r="J121" s="431"/>
    </row>
    <row r="122" spans="1:10" ht="16.5">
      <c r="A122" s="454"/>
      <c r="B122" s="455"/>
      <c r="C122" s="430"/>
      <c r="D122" s="430"/>
      <c r="E122" s="431"/>
      <c r="F122" s="431"/>
      <c r="G122" s="431"/>
      <c r="H122" s="431"/>
      <c r="I122" s="431"/>
      <c r="J122" s="431"/>
    </row>
    <row r="123" spans="1:10" ht="16.5">
      <c r="A123" s="454"/>
      <c r="B123" s="455"/>
      <c r="C123" s="430"/>
      <c r="D123" s="430"/>
      <c r="E123" s="431"/>
      <c r="F123" s="431"/>
      <c r="G123" s="431"/>
      <c r="H123" s="431"/>
      <c r="I123" s="431"/>
      <c r="J123" s="431"/>
    </row>
    <row r="124" spans="1:10" ht="16.5">
      <c r="A124" s="454"/>
      <c r="B124" s="455"/>
      <c r="C124" s="430"/>
      <c r="D124" s="430"/>
      <c r="E124" s="431"/>
      <c r="F124" s="431"/>
      <c r="G124" s="431"/>
      <c r="H124" s="431"/>
      <c r="I124" s="431"/>
      <c r="J124" s="431"/>
    </row>
    <row r="125" spans="1:10" ht="16.5">
      <c r="A125" s="454"/>
      <c r="B125" s="455"/>
      <c r="C125" s="430"/>
      <c r="D125" s="430"/>
      <c r="E125" s="431"/>
      <c r="F125" s="431"/>
      <c r="G125" s="431"/>
      <c r="H125" s="431"/>
      <c r="I125" s="431"/>
      <c r="J125" s="431"/>
    </row>
    <row r="126" spans="1:10" ht="16.5">
      <c r="A126" s="454"/>
      <c r="B126" s="455"/>
      <c r="C126" s="430"/>
      <c r="D126" s="430"/>
      <c r="E126" s="431"/>
      <c r="F126" s="431"/>
      <c r="G126" s="431"/>
      <c r="H126" s="431"/>
      <c r="I126" s="431"/>
      <c r="J126" s="431"/>
    </row>
    <row r="127" spans="1:10" ht="16.5">
      <c r="A127" s="454"/>
      <c r="B127" s="455"/>
      <c r="C127" s="430"/>
      <c r="D127" s="430"/>
      <c r="E127" s="431"/>
      <c r="F127" s="431"/>
      <c r="G127" s="431"/>
      <c r="H127" s="431"/>
      <c r="I127" s="431"/>
      <c r="J127" s="431"/>
    </row>
    <row r="128" spans="1:10" ht="16.5">
      <c r="A128" s="454"/>
      <c r="B128" s="455"/>
      <c r="C128" s="430"/>
      <c r="D128" s="430"/>
      <c r="E128" s="431"/>
      <c r="F128" s="431"/>
      <c r="G128" s="431"/>
      <c r="H128" s="431"/>
      <c r="I128" s="431"/>
      <c r="J128" s="431"/>
    </row>
    <row r="129" spans="1:10" ht="16.5">
      <c r="A129" s="454"/>
      <c r="B129" s="455"/>
      <c r="C129" s="430"/>
      <c r="D129" s="430"/>
      <c r="E129" s="431"/>
      <c r="F129" s="431"/>
      <c r="G129" s="431"/>
      <c r="H129" s="431"/>
      <c r="I129" s="431"/>
      <c r="J129" s="431"/>
    </row>
    <row r="130" spans="1:10" ht="16.5">
      <c r="A130" s="454"/>
      <c r="B130" s="455"/>
      <c r="C130" s="430"/>
      <c r="D130" s="430"/>
      <c r="E130" s="431"/>
      <c r="F130" s="431"/>
      <c r="G130" s="431"/>
      <c r="H130" s="431"/>
      <c r="I130" s="431"/>
      <c r="J130" s="431"/>
    </row>
    <row r="131" spans="1:10" ht="16.5">
      <c r="A131" s="454"/>
      <c r="B131" s="455"/>
      <c r="C131" s="430"/>
      <c r="D131" s="430"/>
      <c r="E131" s="431"/>
      <c r="F131" s="431"/>
      <c r="G131" s="431"/>
      <c r="H131" s="431"/>
      <c r="I131" s="431"/>
      <c r="J131" s="431"/>
    </row>
    <row r="132" spans="1:10" ht="16.5">
      <c r="A132" s="454"/>
      <c r="B132" s="455"/>
      <c r="C132" s="430"/>
      <c r="D132" s="430"/>
      <c r="E132" s="431"/>
      <c r="F132" s="431"/>
      <c r="G132" s="431"/>
      <c r="H132" s="431"/>
      <c r="I132" s="431"/>
      <c r="J132" s="431"/>
    </row>
    <row r="133" spans="1:10" ht="16.5">
      <c r="A133" s="454"/>
      <c r="B133" s="455"/>
      <c r="C133" s="430"/>
      <c r="D133" s="430"/>
      <c r="E133" s="431"/>
      <c r="F133" s="431"/>
      <c r="G133" s="431"/>
      <c r="H133" s="431"/>
      <c r="I133" s="431"/>
      <c r="J133" s="431"/>
    </row>
    <row r="134" spans="1:10" ht="16.5">
      <c r="A134" s="454"/>
      <c r="B134" s="455"/>
      <c r="C134" s="430"/>
      <c r="D134" s="430"/>
      <c r="E134" s="431"/>
      <c r="F134" s="431"/>
      <c r="G134" s="431"/>
      <c r="H134" s="431"/>
      <c r="I134" s="431"/>
      <c r="J134" s="431"/>
    </row>
    <row r="135" spans="1:10" ht="16.5">
      <c r="A135" s="454"/>
      <c r="B135" s="455"/>
      <c r="C135" s="430"/>
      <c r="D135" s="430"/>
      <c r="E135" s="431"/>
      <c r="F135" s="431"/>
      <c r="G135" s="431"/>
      <c r="H135" s="431"/>
      <c r="I135" s="431"/>
      <c r="J135" s="431"/>
    </row>
    <row r="136" spans="1:10" ht="16.5">
      <c r="A136" s="454"/>
      <c r="B136" s="455"/>
      <c r="C136" s="430"/>
      <c r="D136" s="430"/>
      <c r="E136" s="431"/>
      <c r="F136" s="431"/>
      <c r="G136" s="431"/>
      <c r="H136" s="431"/>
      <c r="I136" s="431"/>
      <c r="J136" s="431"/>
    </row>
    <row r="137" spans="1:10" ht="16.5">
      <c r="A137" s="454"/>
      <c r="B137" s="455"/>
      <c r="C137" s="430"/>
      <c r="D137" s="430"/>
      <c r="E137" s="431"/>
      <c r="F137" s="431"/>
      <c r="G137" s="431"/>
      <c r="H137" s="431"/>
      <c r="I137" s="431"/>
      <c r="J137" s="431"/>
    </row>
    <row r="138" spans="1:10" ht="16.5">
      <c r="A138" s="454"/>
      <c r="B138" s="455"/>
      <c r="C138" s="430"/>
      <c r="D138" s="430"/>
      <c r="E138" s="431"/>
      <c r="F138" s="431"/>
      <c r="G138" s="431"/>
      <c r="H138" s="431"/>
      <c r="I138" s="431"/>
      <c r="J138" s="431"/>
    </row>
    <row r="139" spans="1:10" ht="16.5">
      <c r="A139" s="454"/>
      <c r="B139" s="455"/>
      <c r="C139" s="430"/>
      <c r="D139" s="430"/>
      <c r="E139" s="431"/>
      <c r="F139" s="431"/>
      <c r="G139" s="431"/>
      <c r="H139" s="431"/>
      <c r="I139" s="431"/>
      <c r="J139" s="431"/>
    </row>
    <row r="140" spans="1:10" ht="16.5">
      <c r="A140" s="454"/>
      <c r="B140" s="455"/>
      <c r="C140" s="430"/>
      <c r="D140" s="430"/>
      <c r="E140" s="431"/>
      <c r="F140" s="431"/>
      <c r="G140" s="431"/>
      <c r="H140" s="431"/>
      <c r="I140" s="431"/>
      <c r="J140" s="431"/>
    </row>
    <row r="141" spans="1:10" ht="16.5">
      <c r="A141" s="454"/>
      <c r="B141" s="455"/>
      <c r="C141" s="430"/>
      <c r="D141" s="430"/>
      <c r="E141" s="431"/>
      <c r="F141" s="431"/>
      <c r="G141" s="431"/>
      <c r="H141" s="431"/>
      <c r="I141" s="431"/>
      <c r="J141" s="431"/>
    </row>
    <row r="142" spans="1:10" ht="16.5">
      <c r="A142" s="454"/>
      <c r="B142" s="455"/>
      <c r="C142" s="430"/>
      <c r="D142" s="430"/>
      <c r="E142" s="431"/>
      <c r="F142" s="431"/>
      <c r="G142" s="431"/>
      <c r="H142" s="431"/>
      <c r="I142" s="431"/>
      <c r="J142" s="431"/>
    </row>
    <row r="143" spans="1:10" ht="16.5">
      <c r="A143" s="454"/>
      <c r="B143" s="455"/>
      <c r="C143" s="430"/>
      <c r="D143" s="430"/>
      <c r="E143" s="431"/>
      <c r="F143" s="431"/>
      <c r="G143" s="431"/>
      <c r="H143" s="431"/>
      <c r="I143" s="431"/>
      <c r="J143" s="431"/>
    </row>
    <row r="144" spans="1:10" ht="16.5">
      <c r="A144" s="454"/>
      <c r="B144" s="455"/>
      <c r="C144" s="430"/>
      <c r="D144" s="430"/>
      <c r="E144" s="431"/>
      <c r="F144" s="431"/>
      <c r="G144" s="431"/>
      <c r="H144" s="431"/>
      <c r="I144" s="431"/>
      <c r="J144" s="431"/>
    </row>
    <row r="145" spans="1:10" ht="16.5">
      <c r="A145" s="454"/>
      <c r="B145" s="455"/>
      <c r="C145" s="430"/>
      <c r="D145" s="430"/>
      <c r="E145" s="431"/>
      <c r="F145" s="431"/>
      <c r="G145" s="431"/>
      <c r="H145" s="431"/>
      <c r="I145" s="431"/>
      <c r="J145" s="431"/>
    </row>
    <row r="146" spans="1:10" ht="16.5">
      <c r="A146" s="454"/>
      <c r="B146" s="455"/>
      <c r="C146" s="430"/>
      <c r="D146" s="430"/>
      <c r="E146" s="431"/>
      <c r="F146" s="431"/>
      <c r="G146" s="431"/>
      <c r="H146" s="431"/>
      <c r="I146" s="431"/>
      <c r="J146" s="431"/>
    </row>
    <row r="147" spans="1:10" ht="16.5">
      <c r="A147" s="454"/>
      <c r="B147" s="455"/>
      <c r="C147" s="430"/>
      <c r="D147" s="430"/>
      <c r="E147" s="431"/>
      <c r="F147" s="431"/>
      <c r="G147" s="431"/>
      <c r="H147" s="431"/>
      <c r="I147" s="431"/>
      <c r="J147" s="431"/>
    </row>
    <row r="148" spans="1:10" ht="16.5">
      <c r="A148" s="454"/>
      <c r="B148" s="455"/>
      <c r="C148" s="430"/>
      <c r="D148" s="430"/>
      <c r="E148" s="431"/>
      <c r="F148" s="431"/>
      <c r="G148" s="431"/>
      <c r="H148" s="431"/>
      <c r="I148" s="431"/>
      <c r="J148" s="431"/>
    </row>
    <row r="149" spans="1:10" ht="16.5">
      <c r="A149" s="454"/>
      <c r="B149" s="455"/>
      <c r="C149" s="430"/>
      <c r="D149" s="430"/>
      <c r="E149" s="431"/>
      <c r="F149" s="431"/>
      <c r="G149" s="431"/>
      <c r="H149" s="431"/>
      <c r="I149" s="431"/>
      <c r="J149" s="431"/>
    </row>
    <row r="150" spans="1:10" ht="16.5">
      <c r="A150" s="454"/>
      <c r="B150" s="455"/>
      <c r="C150" s="430"/>
      <c r="D150" s="430"/>
      <c r="E150" s="431"/>
      <c r="F150" s="431"/>
      <c r="G150" s="431"/>
      <c r="H150" s="431"/>
      <c r="I150" s="431"/>
      <c r="J150" s="431"/>
    </row>
    <row r="151" spans="1:10" ht="16.5">
      <c r="A151" s="454"/>
      <c r="B151" s="455"/>
      <c r="C151" s="430"/>
      <c r="D151" s="430"/>
      <c r="E151" s="431"/>
      <c r="F151" s="431"/>
      <c r="G151" s="431"/>
      <c r="H151" s="431"/>
      <c r="I151" s="431"/>
      <c r="J151" s="431"/>
    </row>
    <row r="152" spans="1:10" ht="16.5">
      <c r="A152" s="454"/>
      <c r="B152" s="455"/>
      <c r="C152" s="430"/>
      <c r="D152" s="430"/>
      <c r="E152" s="431"/>
      <c r="F152" s="431"/>
      <c r="G152" s="431"/>
      <c r="H152" s="431"/>
      <c r="I152" s="431"/>
      <c r="J152" s="431"/>
    </row>
    <row r="153" spans="1:10" ht="16.5">
      <c r="A153" s="454"/>
      <c r="B153" s="455"/>
      <c r="C153" s="430"/>
      <c r="D153" s="430"/>
      <c r="E153" s="431"/>
      <c r="F153" s="431"/>
      <c r="G153" s="431"/>
      <c r="H153" s="431"/>
      <c r="I153" s="431"/>
      <c r="J153" s="431"/>
    </row>
    <row r="154" spans="1:10" ht="16.5">
      <c r="A154" s="454"/>
      <c r="B154" s="455"/>
      <c r="C154" s="430"/>
      <c r="D154" s="430"/>
      <c r="E154" s="431"/>
      <c r="F154" s="431"/>
      <c r="G154" s="431"/>
      <c r="H154" s="431"/>
      <c r="I154" s="431"/>
      <c r="J154" s="431"/>
    </row>
    <row r="155" spans="1:10" ht="16.5">
      <c r="A155" s="454"/>
      <c r="B155" s="455"/>
      <c r="C155" s="430"/>
      <c r="D155" s="430"/>
      <c r="E155" s="431"/>
      <c r="F155" s="431"/>
      <c r="G155" s="431"/>
      <c r="H155" s="431"/>
      <c r="I155" s="431"/>
      <c r="J155" s="431"/>
    </row>
    <row r="156" spans="1:10" ht="16.5">
      <c r="A156" s="454"/>
      <c r="B156" s="455"/>
      <c r="C156" s="430"/>
      <c r="D156" s="430"/>
      <c r="E156" s="431"/>
      <c r="F156" s="431"/>
      <c r="G156" s="431"/>
      <c r="H156" s="431"/>
      <c r="I156" s="431"/>
      <c r="J156" s="431"/>
    </row>
    <row r="157" spans="1:10" ht="16.5">
      <c r="A157" s="454"/>
      <c r="B157" s="455"/>
      <c r="C157" s="430"/>
      <c r="D157" s="430"/>
      <c r="E157" s="431"/>
      <c r="F157" s="431"/>
      <c r="G157" s="431"/>
      <c r="H157" s="431"/>
      <c r="I157" s="431"/>
      <c r="J157" s="431"/>
    </row>
    <row r="158" spans="1:10" ht="16.5">
      <c r="A158" s="454"/>
      <c r="B158" s="455"/>
      <c r="C158" s="430"/>
      <c r="D158" s="430"/>
      <c r="E158" s="431"/>
      <c r="F158" s="431"/>
      <c r="G158" s="431"/>
      <c r="H158" s="431"/>
      <c r="I158" s="431"/>
      <c r="J158" s="431"/>
    </row>
    <row r="159" spans="1:10" ht="16.5">
      <c r="A159" s="454"/>
      <c r="B159" s="455"/>
      <c r="C159" s="430"/>
      <c r="D159" s="430"/>
      <c r="E159" s="431"/>
      <c r="F159" s="431"/>
      <c r="G159" s="431"/>
      <c r="H159" s="431"/>
      <c r="I159" s="431"/>
      <c r="J159" s="431"/>
    </row>
    <row r="160" spans="1:10" ht="16.5">
      <c r="A160" s="454"/>
      <c r="B160" s="455"/>
      <c r="C160" s="430"/>
      <c r="D160" s="430"/>
      <c r="E160" s="431"/>
      <c r="F160" s="431"/>
      <c r="G160" s="431"/>
      <c r="H160" s="431"/>
      <c r="I160" s="431"/>
      <c r="J160" s="431"/>
    </row>
    <row r="161" spans="1:10" ht="16.5">
      <c r="A161" s="454"/>
      <c r="B161" s="455"/>
      <c r="C161" s="430"/>
      <c r="D161" s="430"/>
      <c r="E161" s="431"/>
      <c r="F161" s="431"/>
      <c r="G161" s="431"/>
      <c r="H161" s="431"/>
      <c r="I161" s="431"/>
      <c r="J161" s="431"/>
    </row>
    <row r="162" spans="1:10" ht="16.5">
      <c r="A162" s="454"/>
      <c r="B162" s="455"/>
      <c r="C162" s="430"/>
      <c r="D162" s="430"/>
      <c r="E162" s="431"/>
      <c r="F162" s="431"/>
      <c r="G162" s="431"/>
      <c r="H162" s="431"/>
      <c r="I162" s="431"/>
      <c r="J162" s="431"/>
    </row>
    <row r="163" spans="1:10" ht="16.5">
      <c r="A163" s="454"/>
      <c r="B163" s="455"/>
      <c r="C163" s="430"/>
      <c r="D163" s="430"/>
      <c r="E163" s="431"/>
      <c r="F163" s="431"/>
      <c r="G163" s="431"/>
      <c r="H163" s="431"/>
      <c r="I163" s="431"/>
      <c r="J163" s="431"/>
    </row>
    <row r="164" spans="1:10" ht="16.5">
      <c r="A164" s="454"/>
      <c r="B164" s="455"/>
      <c r="C164" s="430"/>
      <c r="D164" s="430"/>
      <c r="E164" s="431"/>
      <c r="F164" s="431"/>
      <c r="G164" s="431"/>
      <c r="H164" s="431"/>
      <c r="I164" s="431"/>
      <c r="J164" s="431"/>
    </row>
    <row r="165" spans="1:10" ht="16.5">
      <c r="A165" s="454"/>
      <c r="B165" s="455"/>
      <c r="C165" s="430"/>
      <c r="D165" s="430"/>
      <c r="E165" s="431"/>
      <c r="F165" s="431"/>
      <c r="G165" s="431"/>
      <c r="H165" s="431"/>
      <c r="I165" s="431"/>
      <c r="J165" s="431"/>
    </row>
    <row r="166" spans="1:10" ht="16.5">
      <c r="A166" s="454"/>
      <c r="B166" s="455"/>
      <c r="C166" s="430"/>
      <c r="D166" s="430"/>
      <c r="E166" s="431"/>
      <c r="F166" s="431"/>
      <c r="G166" s="431"/>
      <c r="H166" s="431"/>
      <c r="I166" s="431"/>
      <c r="J166" s="431"/>
    </row>
    <row r="167" spans="1:10" ht="16.5">
      <c r="A167" s="454"/>
      <c r="B167" s="455"/>
      <c r="C167" s="430"/>
      <c r="D167" s="430"/>
      <c r="E167" s="431"/>
      <c r="F167" s="431"/>
      <c r="G167" s="431"/>
      <c r="H167" s="431"/>
      <c r="I167" s="431"/>
      <c r="J167" s="431"/>
    </row>
    <row r="168" spans="1:10" ht="16.5">
      <c r="A168" s="454"/>
      <c r="B168" s="455"/>
      <c r="C168" s="430"/>
      <c r="D168" s="430"/>
      <c r="E168" s="431"/>
      <c r="F168" s="431"/>
      <c r="G168" s="431"/>
      <c r="H168" s="431"/>
      <c r="I168" s="431"/>
      <c r="J168" s="431"/>
    </row>
    <row r="169" spans="1:10" ht="16.5">
      <c r="A169" s="454"/>
      <c r="B169" s="455"/>
      <c r="C169" s="430"/>
      <c r="D169" s="430"/>
      <c r="E169" s="431"/>
      <c r="F169" s="431"/>
      <c r="G169" s="431"/>
      <c r="H169" s="431"/>
      <c r="I169" s="431"/>
      <c r="J169" s="431"/>
    </row>
    <row r="170" spans="1:10" ht="16.5">
      <c r="A170" s="454"/>
      <c r="B170" s="455"/>
      <c r="C170" s="430"/>
      <c r="D170" s="430"/>
      <c r="E170" s="431"/>
      <c r="F170" s="431"/>
      <c r="G170" s="431"/>
      <c r="H170" s="431"/>
      <c r="I170" s="431"/>
      <c r="J170" s="431"/>
    </row>
    <row r="171" spans="1:10" ht="16.5">
      <c r="A171" s="454"/>
      <c r="B171" s="455"/>
      <c r="C171" s="430"/>
      <c r="D171" s="430"/>
      <c r="E171" s="431"/>
      <c r="F171" s="431"/>
      <c r="G171" s="431"/>
      <c r="H171" s="431"/>
      <c r="I171" s="431"/>
      <c r="J171" s="431"/>
    </row>
    <row r="172" spans="1:10" ht="16.5">
      <c r="A172" s="454"/>
      <c r="B172" s="455"/>
      <c r="C172" s="430"/>
      <c r="D172" s="430"/>
      <c r="E172" s="431"/>
      <c r="F172" s="431"/>
      <c r="G172" s="431"/>
      <c r="H172" s="431"/>
      <c r="I172" s="431"/>
      <c r="J172" s="431"/>
    </row>
    <row r="173" spans="1:10" ht="16.5">
      <c r="A173" s="454"/>
      <c r="B173" s="455"/>
      <c r="C173" s="430"/>
      <c r="D173" s="430"/>
      <c r="E173" s="431"/>
      <c r="F173" s="431"/>
      <c r="G173" s="431"/>
      <c r="H173" s="431"/>
      <c r="I173" s="431"/>
      <c r="J173" s="431"/>
    </row>
    <row r="174" spans="1:10" ht="16.5">
      <c r="A174" s="454"/>
      <c r="B174" s="455"/>
      <c r="C174" s="430"/>
      <c r="D174" s="430"/>
      <c r="E174" s="431"/>
      <c r="F174" s="431"/>
      <c r="G174" s="431"/>
      <c r="H174" s="431"/>
      <c r="I174" s="431"/>
      <c r="J174" s="431"/>
    </row>
    <row r="175" spans="1:10" ht="16.5">
      <c r="A175" s="454"/>
      <c r="B175" s="455"/>
      <c r="C175" s="430"/>
      <c r="D175" s="430"/>
      <c r="E175" s="431"/>
      <c r="F175" s="431"/>
      <c r="G175" s="431"/>
      <c r="H175" s="431"/>
      <c r="I175" s="431"/>
      <c r="J175" s="431"/>
    </row>
    <row r="176" spans="1:10" ht="16.5">
      <c r="A176" s="454"/>
      <c r="B176" s="455"/>
      <c r="C176" s="430"/>
      <c r="D176" s="430"/>
      <c r="E176" s="431"/>
      <c r="F176" s="431"/>
      <c r="G176" s="431"/>
      <c r="H176" s="431"/>
      <c r="I176" s="431"/>
      <c r="J176" s="431"/>
    </row>
    <row r="177" spans="1:10" ht="16.5">
      <c r="A177" s="454"/>
      <c r="B177" s="455"/>
      <c r="C177" s="430"/>
      <c r="D177" s="430"/>
      <c r="E177" s="431"/>
      <c r="F177" s="431"/>
      <c r="G177" s="431"/>
      <c r="H177" s="431"/>
      <c r="I177" s="431"/>
      <c r="J177" s="431"/>
    </row>
    <row r="178" spans="1:10" ht="16.5">
      <c r="A178" s="454"/>
      <c r="B178" s="455"/>
      <c r="C178" s="430"/>
      <c r="D178" s="430"/>
      <c r="E178" s="431"/>
      <c r="F178" s="431"/>
      <c r="G178" s="431"/>
      <c r="H178" s="431"/>
      <c r="I178" s="431"/>
      <c r="J178" s="431"/>
    </row>
    <row r="179" spans="1:10" ht="16.5">
      <c r="A179" s="454"/>
      <c r="B179" s="455"/>
      <c r="C179" s="430"/>
      <c r="D179" s="430"/>
      <c r="E179" s="431"/>
      <c r="F179" s="431"/>
      <c r="G179" s="431"/>
      <c r="H179" s="431"/>
      <c r="I179" s="431"/>
      <c r="J179" s="431"/>
    </row>
    <row r="180" spans="1:10" ht="16.5">
      <c r="A180" s="454"/>
      <c r="B180" s="455"/>
      <c r="C180" s="430"/>
      <c r="D180" s="430"/>
      <c r="E180" s="431"/>
      <c r="F180" s="431"/>
      <c r="G180" s="431"/>
      <c r="H180" s="431"/>
      <c r="I180" s="431"/>
      <c r="J180" s="431"/>
    </row>
    <row r="181" spans="1:10" ht="16.5">
      <c r="A181" s="454"/>
      <c r="B181" s="455"/>
      <c r="C181" s="430"/>
      <c r="D181" s="430"/>
      <c r="E181" s="431"/>
      <c r="F181" s="431"/>
      <c r="G181" s="431"/>
      <c r="H181" s="431"/>
      <c r="I181" s="431"/>
      <c r="J181" s="431"/>
    </row>
    <row r="182" spans="1:10" ht="16.5">
      <c r="A182" s="454"/>
      <c r="B182" s="455"/>
      <c r="C182" s="430"/>
      <c r="D182" s="430"/>
      <c r="E182" s="431"/>
      <c r="F182" s="431"/>
      <c r="G182" s="431"/>
      <c r="H182" s="431"/>
      <c r="I182" s="431"/>
      <c r="J182" s="431"/>
    </row>
    <row r="183" spans="1:10" ht="16.5">
      <c r="A183" s="454"/>
      <c r="B183" s="455"/>
      <c r="C183" s="430"/>
      <c r="D183" s="430"/>
      <c r="E183" s="431"/>
      <c r="F183" s="431"/>
      <c r="G183" s="431"/>
      <c r="H183" s="431"/>
      <c r="I183" s="431"/>
      <c r="J183" s="431"/>
    </row>
    <row r="184" spans="1:10" ht="16.5">
      <c r="A184" s="454"/>
      <c r="B184" s="455"/>
      <c r="C184" s="430"/>
      <c r="D184" s="430"/>
      <c r="E184" s="431"/>
      <c r="F184" s="431"/>
      <c r="G184" s="431"/>
      <c r="H184" s="431"/>
      <c r="I184" s="431"/>
      <c r="J184" s="431"/>
    </row>
    <row r="185" spans="1:10" ht="16.5">
      <c r="A185" s="454"/>
      <c r="B185" s="455"/>
      <c r="C185" s="430"/>
      <c r="D185" s="430"/>
      <c r="E185" s="431"/>
      <c r="F185" s="431"/>
      <c r="G185" s="431"/>
      <c r="H185" s="431"/>
      <c r="I185" s="431"/>
      <c r="J185" s="431"/>
    </row>
    <row r="186" spans="1:10" ht="16.5">
      <c r="A186" s="454"/>
      <c r="B186" s="455"/>
      <c r="C186" s="430"/>
      <c r="D186" s="430"/>
      <c r="E186" s="431"/>
      <c r="F186" s="431"/>
      <c r="G186" s="431"/>
      <c r="H186" s="431"/>
      <c r="I186" s="431"/>
      <c r="J186" s="431"/>
    </row>
    <row r="187" spans="1:10" ht="16.5">
      <c r="A187" s="454"/>
      <c r="B187" s="455"/>
      <c r="C187" s="430"/>
      <c r="D187" s="430"/>
      <c r="E187" s="431"/>
      <c r="F187" s="431"/>
      <c r="G187" s="431"/>
      <c r="H187" s="431"/>
      <c r="I187" s="431"/>
      <c r="J187" s="431"/>
    </row>
    <row r="188" spans="1:10" ht="16.5">
      <c r="A188" s="454"/>
      <c r="B188" s="455"/>
      <c r="C188" s="430"/>
      <c r="D188" s="430"/>
      <c r="E188" s="431"/>
      <c r="F188" s="431"/>
      <c r="G188" s="431"/>
      <c r="H188" s="431"/>
      <c r="I188" s="431"/>
      <c r="J188" s="431"/>
    </row>
    <row r="189" spans="1:10" ht="16.5">
      <c r="A189" s="454"/>
      <c r="B189" s="455"/>
      <c r="C189" s="430"/>
      <c r="D189" s="430"/>
      <c r="E189" s="431"/>
      <c r="F189" s="431"/>
      <c r="G189" s="431"/>
      <c r="H189" s="431"/>
      <c r="I189" s="431"/>
      <c r="J189" s="431"/>
    </row>
    <row r="190" spans="1:10" ht="16.5">
      <c r="A190" s="454"/>
      <c r="B190" s="455"/>
      <c r="C190" s="430"/>
      <c r="D190" s="430"/>
      <c r="E190" s="431"/>
      <c r="F190" s="431"/>
      <c r="G190" s="431"/>
      <c r="H190" s="431"/>
      <c r="I190" s="431"/>
      <c r="J190" s="431"/>
    </row>
    <row r="191" spans="1:10" ht="16.5">
      <c r="A191" s="454"/>
      <c r="B191" s="455"/>
      <c r="C191" s="430"/>
      <c r="D191" s="430"/>
      <c r="E191" s="431"/>
      <c r="F191" s="431"/>
      <c r="G191" s="431"/>
      <c r="H191" s="431"/>
      <c r="I191" s="431"/>
      <c r="J191" s="431"/>
    </row>
    <row r="192" spans="1:10" ht="16.5">
      <c r="A192" s="454"/>
      <c r="B192" s="455"/>
      <c r="C192" s="430"/>
      <c r="D192" s="430"/>
      <c r="E192" s="431"/>
      <c r="F192" s="431"/>
      <c r="G192" s="431"/>
      <c r="H192" s="431"/>
      <c r="I192" s="431"/>
      <c r="J192" s="431"/>
    </row>
    <row r="193" spans="1:10" ht="16.5">
      <c r="A193" s="454"/>
      <c r="B193" s="455"/>
      <c r="C193" s="430"/>
      <c r="D193" s="430"/>
      <c r="E193" s="431"/>
      <c r="F193" s="431"/>
      <c r="G193" s="431"/>
      <c r="H193" s="431"/>
      <c r="I193" s="431"/>
      <c r="J193" s="431"/>
    </row>
    <row r="194" spans="1:10" ht="16.5">
      <c r="A194" s="454"/>
      <c r="B194" s="455"/>
      <c r="C194" s="430"/>
      <c r="D194" s="430"/>
      <c r="E194" s="431"/>
      <c r="F194" s="431"/>
      <c r="G194" s="431"/>
      <c r="H194" s="431"/>
      <c r="I194" s="431"/>
      <c r="J194" s="431"/>
    </row>
    <row r="195" spans="1:10" ht="16.5">
      <c r="A195" s="454"/>
      <c r="B195" s="455"/>
      <c r="C195" s="430"/>
      <c r="D195" s="430"/>
      <c r="E195" s="431"/>
      <c r="F195" s="431"/>
      <c r="G195" s="431"/>
      <c r="H195" s="431"/>
      <c r="I195" s="431"/>
      <c r="J195" s="431"/>
    </row>
    <row r="196" spans="1:10" ht="16.5">
      <c r="A196" s="454"/>
      <c r="B196" s="455"/>
      <c r="C196" s="430"/>
      <c r="D196" s="430"/>
      <c r="E196" s="431"/>
      <c r="F196" s="431"/>
      <c r="G196" s="431"/>
      <c r="H196" s="431"/>
      <c r="I196" s="431"/>
      <c r="J196" s="431"/>
    </row>
    <row r="197" spans="1:10" ht="16.5">
      <c r="A197" s="454"/>
      <c r="B197" s="455"/>
      <c r="C197" s="430"/>
      <c r="D197" s="430"/>
      <c r="E197" s="431"/>
      <c r="F197" s="431"/>
      <c r="G197" s="431"/>
      <c r="H197" s="431"/>
      <c r="I197" s="431"/>
      <c r="J197" s="431"/>
    </row>
    <row r="198" spans="1:10" ht="16.5">
      <c r="A198" s="454"/>
      <c r="B198" s="455"/>
      <c r="C198" s="430"/>
      <c r="D198" s="430"/>
      <c r="E198" s="431"/>
      <c r="F198" s="431"/>
      <c r="G198" s="431"/>
      <c r="H198" s="431"/>
      <c r="I198" s="431"/>
      <c r="J198" s="431"/>
    </row>
    <row r="199" spans="1:10" ht="16.5">
      <c r="A199" s="454"/>
      <c r="B199" s="455"/>
      <c r="C199" s="430"/>
      <c r="D199" s="430"/>
      <c r="E199" s="431"/>
      <c r="F199" s="431"/>
      <c r="G199" s="431"/>
      <c r="H199" s="431"/>
      <c r="I199" s="431"/>
      <c r="J199" s="431"/>
    </row>
    <row r="200" spans="1:10" ht="16.5">
      <c r="A200" s="454"/>
      <c r="B200" s="455"/>
      <c r="C200" s="430"/>
      <c r="D200" s="430"/>
      <c r="E200" s="431"/>
      <c r="F200" s="431"/>
      <c r="G200" s="431"/>
      <c r="H200" s="431"/>
      <c r="I200" s="431"/>
      <c r="J200" s="431"/>
    </row>
    <row r="201" spans="1:10" ht="16.5">
      <c r="A201" s="454"/>
      <c r="B201" s="455"/>
      <c r="C201" s="430"/>
      <c r="D201" s="430"/>
      <c r="E201" s="431"/>
      <c r="F201" s="431"/>
      <c r="G201" s="431"/>
      <c r="H201" s="431"/>
      <c r="I201" s="431"/>
      <c r="J201" s="431"/>
    </row>
    <row r="202" spans="1:10" ht="16.5">
      <c r="A202" s="454"/>
      <c r="B202" s="455"/>
      <c r="C202" s="430"/>
      <c r="D202" s="430"/>
      <c r="E202" s="431"/>
      <c r="F202" s="431"/>
      <c r="G202" s="431"/>
      <c r="H202" s="431"/>
      <c r="I202" s="431"/>
      <c r="J202" s="431"/>
    </row>
    <row r="203" spans="1:10" ht="16.5">
      <c r="A203" s="454"/>
      <c r="B203" s="455"/>
      <c r="C203" s="430"/>
      <c r="D203" s="430"/>
      <c r="E203" s="431"/>
      <c r="F203" s="431"/>
      <c r="G203" s="431"/>
      <c r="H203" s="431"/>
      <c r="I203" s="431"/>
      <c r="J203" s="431"/>
    </row>
    <row r="204" spans="1:10" ht="16.5">
      <c r="A204" s="454"/>
      <c r="B204" s="455"/>
      <c r="C204" s="430"/>
      <c r="D204" s="430"/>
      <c r="E204" s="431"/>
      <c r="F204" s="431"/>
      <c r="G204" s="431"/>
      <c r="H204" s="431"/>
      <c r="I204" s="431"/>
      <c r="J204" s="431"/>
    </row>
    <row r="205" spans="1:10" ht="16.5">
      <c r="A205" s="454"/>
      <c r="B205" s="455"/>
      <c r="C205" s="430"/>
      <c r="D205" s="430"/>
      <c r="E205" s="431"/>
      <c r="F205" s="431"/>
      <c r="G205" s="431"/>
      <c r="H205" s="431"/>
      <c r="I205" s="431"/>
      <c r="J205" s="431"/>
    </row>
    <row r="206" spans="1:10" ht="16.5">
      <c r="A206" s="454"/>
      <c r="B206" s="455"/>
      <c r="C206" s="430"/>
      <c r="D206" s="430"/>
      <c r="E206" s="431"/>
      <c r="F206" s="431"/>
      <c r="G206" s="431"/>
      <c r="H206" s="431"/>
      <c r="I206" s="431"/>
      <c r="J206" s="431"/>
    </row>
    <row r="207" spans="1:10" ht="16.5">
      <c r="A207" s="454"/>
      <c r="B207" s="455"/>
      <c r="C207" s="430"/>
      <c r="D207" s="430"/>
      <c r="E207" s="431"/>
      <c r="F207" s="431"/>
      <c r="G207" s="431"/>
      <c r="H207" s="431"/>
      <c r="I207" s="431"/>
      <c r="J207" s="431"/>
    </row>
    <row r="208" spans="1:10" ht="16.5">
      <c r="A208" s="454"/>
      <c r="B208" s="455"/>
      <c r="C208" s="430"/>
      <c r="D208" s="430"/>
      <c r="E208" s="431"/>
      <c r="F208" s="431"/>
      <c r="G208" s="431"/>
      <c r="H208" s="431"/>
      <c r="I208" s="431"/>
      <c r="J208" s="431"/>
    </row>
    <row r="209" spans="1:10" ht="16.5">
      <c r="A209" s="454"/>
      <c r="B209" s="455"/>
      <c r="C209" s="430"/>
      <c r="D209" s="430"/>
      <c r="E209" s="431"/>
      <c r="F209" s="431"/>
      <c r="G209" s="431"/>
      <c r="H209" s="431"/>
      <c r="I209" s="431"/>
      <c r="J209" s="431"/>
    </row>
    <row r="210" spans="1:10" ht="16.5">
      <c r="A210" s="454"/>
      <c r="B210" s="455"/>
      <c r="C210" s="430"/>
      <c r="D210" s="430"/>
      <c r="E210" s="431"/>
      <c r="F210" s="431"/>
      <c r="G210" s="431"/>
      <c r="H210" s="431"/>
      <c r="I210" s="431"/>
      <c r="J210" s="431"/>
    </row>
    <row r="211" spans="1:10" ht="16.5">
      <c r="A211" s="454"/>
      <c r="B211" s="455"/>
      <c r="C211" s="430"/>
      <c r="D211" s="430"/>
      <c r="E211" s="431"/>
      <c r="F211" s="431"/>
      <c r="G211" s="431"/>
      <c r="H211" s="431"/>
      <c r="I211" s="431"/>
      <c r="J211" s="431"/>
    </row>
    <row r="212" spans="1:10" ht="16.5">
      <c r="A212" s="454"/>
      <c r="B212" s="455"/>
      <c r="C212" s="430"/>
      <c r="D212" s="430"/>
      <c r="E212" s="431"/>
      <c r="F212" s="431"/>
      <c r="G212" s="431"/>
      <c r="H212" s="431"/>
      <c r="I212" s="431"/>
      <c r="J212" s="431"/>
    </row>
    <row r="213" spans="1:10" ht="16.5">
      <c r="A213" s="454"/>
      <c r="B213" s="455"/>
      <c r="C213" s="430"/>
      <c r="D213" s="430"/>
      <c r="E213" s="431"/>
      <c r="F213" s="431"/>
      <c r="G213" s="431"/>
      <c r="H213" s="431"/>
      <c r="I213" s="431"/>
      <c r="J213" s="431"/>
    </row>
    <row r="214" spans="1:10" ht="16.5">
      <c r="A214" s="454"/>
      <c r="B214" s="455"/>
      <c r="C214" s="430"/>
      <c r="D214" s="430"/>
      <c r="E214" s="431"/>
      <c r="F214" s="431"/>
      <c r="G214" s="431"/>
      <c r="H214" s="431"/>
      <c r="I214" s="431"/>
      <c r="J214" s="431"/>
    </row>
    <row r="215" spans="1:10" ht="16.5">
      <c r="A215" s="454"/>
      <c r="B215" s="455"/>
      <c r="C215" s="430"/>
      <c r="D215" s="430"/>
      <c r="E215" s="431"/>
      <c r="F215" s="431"/>
      <c r="G215" s="431"/>
      <c r="H215" s="431"/>
      <c r="I215" s="431"/>
      <c r="J215" s="431"/>
    </row>
    <row r="216" spans="1:10" ht="16.5">
      <c r="A216" s="454"/>
      <c r="B216" s="455"/>
      <c r="C216" s="430"/>
      <c r="D216" s="430"/>
      <c r="E216" s="431"/>
      <c r="F216" s="431"/>
      <c r="G216" s="431"/>
      <c r="H216" s="431"/>
      <c r="I216" s="431"/>
      <c r="J216" s="431"/>
    </row>
    <row r="217" spans="1:10" ht="16.5">
      <c r="A217" s="454"/>
      <c r="B217" s="455"/>
      <c r="C217" s="430"/>
      <c r="D217" s="430"/>
      <c r="E217" s="431"/>
      <c r="F217" s="431"/>
      <c r="G217" s="431"/>
      <c r="H217" s="431"/>
      <c r="I217" s="431"/>
      <c r="J217" s="431"/>
    </row>
    <row r="218" spans="1:10" ht="16.5">
      <c r="A218" s="454"/>
      <c r="B218" s="455"/>
      <c r="C218" s="430"/>
      <c r="D218" s="430"/>
      <c r="E218" s="431"/>
      <c r="F218" s="431"/>
      <c r="G218" s="431"/>
      <c r="H218" s="431"/>
      <c r="I218" s="431"/>
      <c r="J218" s="431"/>
    </row>
    <row r="219" spans="1:10" ht="16.5">
      <c r="A219" s="454"/>
      <c r="B219" s="455"/>
      <c r="C219" s="430"/>
      <c r="D219" s="430"/>
      <c r="E219" s="431"/>
      <c r="F219" s="431"/>
      <c r="G219" s="431"/>
      <c r="H219" s="431"/>
      <c r="I219" s="431"/>
      <c r="J219" s="431"/>
    </row>
    <row r="220" spans="1:10" ht="16.5">
      <c r="A220" s="454"/>
      <c r="B220" s="455"/>
      <c r="C220" s="430"/>
      <c r="D220" s="430"/>
      <c r="E220" s="431"/>
      <c r="F220" s="431"/>
      <c r="G220" s="431"/>
      <c r="H220" s="431"/>
      <c r="I220" s="431"/>
      <c r="J220" s="431"/>
    </row>
    <row r="221" spans="1:10" ht="16.5">
      <c r="A221" s="454"/>
      <c r="B221" s="455"/>
      <c r="C221" s="430"/>
      <c r="D221" s="430"/>
      <c r="E221" s="431"/>
      <c r="F221" s="431"/>
      <c r="G221" s="431"/>
      <c r="H221" s="431"/>
      <c r="I221" s="431"/>
      <c r="J221" s="431"/>
    </row>
    <row r="222" spans="1:10" ht="16.5">
      <c r="A222" s="454"/>
      <c r="B222" s="455"/>
      <c r="C222" s="430"/>
      <c r="D222" s="430"/>
      <c r="E222" s="431"/>
      <c r="F222" s="431"/>
      <c r="G222" s="431"/>
      <c r="H222" s="431"/>
      <c r="I222" s="431"/>
      <c r="J222" s="431"/>
    </row>
    <row r="223" spans="1:10" ht="16.5">
      <c r="A223" s="454"/>
      <c r="B223" s="455"/>
      <c r="C223" s="430"/>
      <c r="D223" s="430"/>
      <c r="E223" s="431"/>
      <c r="F223" s="431"/>
      <c r="G223" s="431"/>
      <c r="H223" s="431"/>
      <c r="I223" s="431"/>
      <c r="J223" s="431"/>
    </row>
    <row r="224" spans="1:10" ht="16.5">
      <c r="A224" s="454"/>
      <c r="B224" s="455"/>
      <c r="C224" s="430"/>
      <c r="D224" s="430"/>
      <c r="E224" s="431"/>
      <c r="F224" s="431"/>
      <c r="G224" s="431"/>
      <c r="H224" s="431"/>
      <c r="I224" s="431"/>
      <c r="J224" s="431"/>
    </row>
    <row r="225" spans="1:10" ht="16.5">
      <c r="A225" s="454"/>
      <c r="B225" s="455"/>
      <c r="C225" s="430"/>
      <c r="D225" s="430"/>
      <c r="E225" s="431"/>
      <c r="F225" s="431"/>
      <c r="G225" s="431"/>
      <c r="H225" s="431"/>
      <c r="I225" s="431"/>
      <c r="J225" s="431"/>
    </row>
    <row r="226" spans="1:10" ht="16.5">
      <c r="A226" s="454"/>
      <c r="B226" s="455"/>
      <c r="C226" s="430"/>
      <c r="D226" s="430"/>
      <c r="E226" s="431"/>
      <c r="F226" s="431"/>
      <c r="G226" s="431"/>
      <c r="H226" s="431"/>
      <c r="I226" s="431"/>
      <c r="J226" s="431"/>
    </row>
    <row r="227" spans="1:10" ht="16.5">
      <c r="A227" s="454"/>
      <c r="B227" s="455"/>
      <c r="C227" s="430"/>
      <c r="D227" s="430"/>
      <c r="E227" s="431"/>
      <c r="F227" s="431"/>
      <c r="G227" s="431"/>
      <c r="H227" s="431"/>
      <c r="I227" s="431"/>
      <c r="J227" s="431"/>
    </row>
    <row r="228" spans="1:10" ht="16.5">
      <c r="A228" s="454"/>
      <c r="B228" s="455"/>
      <c r="C228" s="430"/>
      <c r="D228" s="430"/>
      <c r="E228" s="431"/>
      <c r="F228" s="431"/>
      <c r="G228" s="431"/>
      <c r="H228" s="431"/>
      <c r="I228" s="431"/>
      <c r="J228" s="431"/>
    </row>
    <row r="229" spans="1:10" ht="16.5">
      <c r="A229" s="454"/>
      <c r="B229" s="455"/>
      <c r="C229" s="430"/>
      <c r="D229" s="430"/>
      <c r="E229" s="431"/>
      <c r="F229" s="431"/>
      <c r="G229" s="431"/>
      <c r="H229" s="431"/>
      <c r="I229" s="431"/>
      <c r="J229" s="431"/>
    </row>
    <row r="230" spans="1:10" ht="16.5">
      <c r="A230" s="454"/>
      <c r="B230" s="455"/>
      <c r="C230" s="430"/>
      <c r="D230" s="430"/>
      <c r="E230" s="431"/>
      <c r="F230" s="431"/>
      <c r="G230" s="431"/>
      <c r="H230" s="431"/>
      <c r="I230" s="431"/>
      <c r="J230" s="431"/>
    </row>
    <row r="231" spans="1:10" ht="16.5">
      <c r="A231" s="454"/>
      <c r="B231" s="455"/>
      <c r="C231" s="430"/>
      <c r="D231" s="430"/>
      <c r="E231" s="431"/>
      <c r="F231" s="431"/>
      <c r="G231" s="431"/>
      <c r="H231" s="431"/>
      <c r="I231" s="431"/>
      <c r="J231" s="431"/>
    </row>
    <row r="232" spans="1:10" ht="16.5">
      <c r="A232" s="454"/>
      <c r="B232" s="455"/>
      <c r="C232" s="430"/>
      <c r="D232" s="430"/>
      <c r="E232" s="431"/>
      <c r="F232" s="431"/>
      <c r="G232" s="431"/>
      <c r="H232" s="431"/>
      <c r="I232" s="431"/>
      <c r="J232" s="431"/>
    </row>
    <row r="233" spans="1:10" ht="16.5">
      <c r="A233" s="454"/>
      <c r="B233" s="455"/>
      <c r="C233" s="430"/>
      <c r="D233" s="430"/>
      <c r="E233" s="431"/>
      <c r="F233" s="431"/>
      <c r="G233" s="431"/>
      <c r="H233" s="431"/>
      <c r="I233" s="431"/>
      <c r="J233" s="431"/>
    </row>
    <row r="234" spans="1:10" ht="16.5">
      <c r="A234" s="454"/>
      <c r="B234" s="455"/>
      <c r="C234" s="430"/>
      <c r="D234" s="430"/>
      <c r="E234" s="431"/>
      <c r="F234" s="431"/>
      <c r="G234" s="431"/>
      <c r="H234" s="431"/>
      <c r="I234" s="431"/>
      <c r="J234" s="431"/>
    </row>
    <row r="235" spans="1:10" ht="16.5">
      <c r="A235" s="454"/>
      <c r="B235" s="455"/>
      <c r="C235" s="430"/>
      <c r="D235" s="430"/>
      <c r="E235" s="431"/>
      <c r="F235" s="431"/>
      <c r="G235" s="431"/>
      <c r="H235" s="431"/>
      <c r="I235" s="431"/>
      <c r="J235" s="431"/>
    </row>
    <row r="236" spans="1:10" ht="16.5">
      <c r="A236" s="454"/>
      <c r="B236" s="455"/>
      <c r="C236" s="430"/>
      <c r="D236" s="430"/>
      <c r="E236" s="431"/>
      <c r="F236" s="431"/>
      <c r="G236" s="431"/>
      <c r="H236" s="431"/>
      <c r="I236" s="431"/>
      <c r="J236" s="431"/>
    </row>
    <row r="237" spans="1:10" ht="16.5">
      <c r="A237" s="454"/>
      <c r="B237" s="455"/>
      <c r="C237" s="430"/>
      <c r="D237" s="430"/>
      <c r="E237" s="431"/>
      <c r="F237" s="431"/>
      <c r="G237" s="431"/>
      <c r="H237" s="431"/>
      <c r="I237" s="431"/>
      <c r="J237" s="431"/>
    </row>
    <row r="238" spans="1:10" ht="16.5">
      <c r="A238" s="454"/>
      <c r="B238" s="455"/>
      <c r="C238" s="430"/>
      <c r="D238" s="430"/>
      <c r="E238" s="431"/>
      <c r="F238" s="431"/>
      <c r="G238" s="431"/>
      <c r="H238" s="431"/>
      <c r="I238" s="431"/>
      <c r="J238" s="431"/>
    </row>
    <row r="239" spans="1:10" ht="16.5">
      <c r="A239" s="454"/>
      <c r="B239" s="455"/>
      <c r="C239" s="430"/>
      <c r="D239" s="430"/>
      <c r="E239" s="431"/>
      <c r="F239" s="431"/>
      <c r="G239" s="431"/>
      <c r="H239" s="431"/>
      <c r="I239" s="431"/>
      <c r="J239" s="431"/>
    </row>
    <row r="240" spans="1:10" ht="16.5">
      <c r="A240" s="454"/>
      <c r="B240" s="455"/>
      <c r="C240" s="430"/>
      <c r="D240" s="430"/>
      <c r="E240" s="431"/>
      <c r="F240" s="431"/>
      <c r="G240" s="431"/>
      <c r="H240" s="431"/>
      <c r="I240" s="431"/>
      <c r="J240" s="431"/>
    </row>
    <row r="241" spans="1:10" ht="16.5">
      <c r="A241" s="454"/>
      <c r="B241" s="455"/>
      <c r="C241" s="430"/>
      <c r="D241" s="430"/>
      <c r="E241" s="431"/>
      <c r="F241" s="431"/>
      <c r="G241" s="431"/>
      <c r="H241" s="431"/>
      <c r="I241" s="431"/>
      <c r="J241" s="431"/>
    </row>
    <row r="242" spans="1:10" ht="16.5">
      <c r="A242" s="454"/>
      <c r="B242" s="455"/>
      <c r="C242" s="430"/>
      <c r="D242" s="430"/>
      <c r="E242" s="431"/>
      <c r="F242" s="431"/>
      <c r="G242" s="431"/>
      <c r="H242" s="431"/>
      <c r="I242" s="431"/>
      <c r="J242" s="431"/>
    </row>
    <row r="243" spans="1:10" ht="16.5">
      <c r="A243" s="454"/>
      <c r="B243" s="455"/>
      <c r="C243" s="430"/>
      <c r="D243" s="430"/>
      <c r="E243" s="431"/>
      <c r="F243" s="431"/>
      <c r="G243" s="431"/>
      <c r="H243" s="431"/>
      <c r="I243" s="431"/>
      <c r="J243" s="431"/>
    </row>
    <row r="244" spans="1:10" ht="16.5">
      <c r="A244" s="454"/>
      <c r="B244" s="455"/>
      <c r="C244" s="430"/>
      <c r="D244" s="430"/>
      <c r="E244" s="431"/>
      <c r="F244" s="431"/>
      <c r="G244" s="431"/>
      <c r="H244" s="431"/>
      <c r="I244" s="431"/>
      <c r="J244" s="431"/>
    </row>
    <row r="245" spans="1:10" ht="16.5">
      <c r="A245" s="454"/>
      <c r="B245" s="455"/>
      <c r="C245" s="430"/>
      <c r="D245" s="430"/>
      <c r="E245" s="431"/>
      <c r="F245" s="431"/>
      <c r="G245" s="431"/>
      <c r="H245" s="431"/>
      <c r="I245" s="431"/>
      <c r="J245" s="431"/>
    </row>
    <row r="246" spans="1:10" ht="16.5">
      <c r="A246" s="454"/>
      <c r="B246" s="455"/>
      <c r="C246" s="430"/>
      <c r="D246" s="430"/>
      <c r="E246" s="431"/>
      <c r="F246" s="431"/>
      <c r="G246" s="431"/>
      <c r="H246" s="431"/>
      <c r="I246" s="431"/>
      <c r="J246" s="431"/>
    </row>
    <row r="247" spans="1:10" ht="16.5">
      <c r="A247" s="454"/>
      <c r="B247" s="455"/>
      <c r="C247" s="430"/>
      <c r="D247" s="430"/>
      <c r="E247" s="431"/>
      <c r="F247" s="431"/>
      <c r="G247" s="431"/>
      <c r="H247" s="431"/>
      <c r="I247" s="431"/>
      <c r="J247" s="431"/>
    </row>
    <row r="248" spans="1:10" ht="16.5">
      <c r="A248" s="454"/>
      <c r="B248" s="455"/>
      <c r="C248" s="430"/>
      <c r="D248" s="430"/>
      <c r="E248" s="431"/>
      <c r="F248" s="431"/>
      <c r="G248" s="431"/>
      <c r="H248" s="431"/>
      <c r="I248" s="431"/>
      <c r="J248" s="431"/>
    </row>
  </sheetData>
  <sheetProtection/>
  <mergeCells count="5">
    <mergeCell ref="B12:D12"/>
    <mergeCell ref="B14:I14"/>
    <mergeCell ref="I1:J1"/>
    <mergeCell ref="B2:J2"/>
    <mergeCell ref="A3:J3"/>
  </mergeCells>
  <printOptions horizontalCentered="1"/>
  <pageMargins left="0.708661417322835" right="0.47244094488189" top="0.748031496062992" bottom="0.984251968503937" header="0.511811023622047" footer="0.590551181102362"/>
  <pageSetup fitToHeight="0" fitToWidth="1" horizontalDpi="600" verticalDpi="600" orientation="landscape" paperSize="9" scale="86" r:id="rId1"/>
  <headerFooter alignWithMargins="0"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7"/>
  <sheetViews>
    <sheetView view="pageBreakPreview" zoomScale="85" zoomScaleNormal="70" zoomScaleSheetLayoutView="85" zoomScalePageLayoutView="0" workbookViewId="0" topLeftCell="A1">
      <selection activeCell="D8" sqref="D8"/>
    </sheetView>
  </sheetViews>
  <sheetFormatPr defaultColWidth="9.140625" defaultRowHeight="12.75"/>
  <cols>
    <col min="1" max="1" width="5.8515625" style="738" customWidth="1"/>
    <col min="2" max="2" width="45.421875" style="738" customWidth="1"/>
    <col min="3" max="3" width="16.140625" style="739" customWidth="1"/>
    <col min="4" max="4" width="14.140625" style="739" customWidth="1"/>
    <col min="5" max="8" width="13.8515625" style="738" customWidth="1"/>
    <col min="9" max="9" width="14.8515625" style="738" customWidth="1"/>
    <col min="10" max="10" width="16.57421875" style="738" customWidth="1"/>
    <col min="11" max="11" width="18.28125" style="740" customWidth="1"/>
    <col min="12" max="16384" width="9.140625" style="738" customWidth="1"/>
  </cols>
  <sheetData>
    <row r="1" spans="2:10" ht="29.25" customHeight="1">
      <c r="B1" s="738" t="s">
        <v>614</v>
      </c>
      <c r="H1" s="424" t="s">
        <v>342</v>
      </c>
      <c r="I1" s="1210" t="s">
        <v>331</v>
      </c>
      <c r="J1" s="1210"/>
    </row>
    <row r="2" spans="2:10" ht="29.25" customHeight="1">
      <c r="B2" s="1198" t="s">
        <v>613</v>
      </c>
      <c r="C2" s="1198"/>
      <c r="D2" s="1198"/>
      <c r="E2" s="1198"/>
      <c r="F2" s="1198"/>
      <c r="G2" s="1198"/>
      <c r="H2" s="1198"/>
      <c r="I2" s="1198"/>
      <c r="J2" s="1198"/>
    </row>
    <row r="3" spans="2:10" ht="45" customHeight="1">
      <c r="B3" s="1230" t="s">
        <v>615</v>
      </c>
      <c r="C3" s="1230"/>
      <c r="D3" s="1230"/>
      <c r="E3" s="1230"/>
      <c r="F3" s="1230"/>
      <c r="G3" s="1230"/>
      <c r="H3" s="1230"/>
      <c r="I3" s="1230"/>
      <c r="J3" s="1230"/>
    </row>
    <row r="4" spans="2:10" ht="30" customHeight="1">
      <c r="B4" s="741"/>
      <c r="C4" s="742"/>
      <c r="D4" s="742"/>
      <c r="E4" s="741"/>
      <c r="F4" s="741"/>
      <c r="G4" s="741"/>
      <c r="H4" s="741"/>
      <c r="I4" s="741"/>
      <c r="J4" s="741"/>
    </row>
    <row r="5" spans="1:10" ht="87.75" customHeight="1">
      <c r="A5" s="743" t="s">
        <v>0</v>
      </c>
      <c r="B5" s="744" t="s">
        <v>287</v>
      </c>
      <c r="C5" s="744" t="s">
        <v>184</v>
      </c>
      <c r="D5" s="433" t="s">
        <v>332</v>
      </c>
      <c r="E5" s="433" t="s">
        <v>333</v>
      </c>
      <c r="F5" s="433" t="s">
        <v>334</v>
      </c>
      <c r="G5" s="433" t="s">
        <v>335</v>
      </c>
      <c r="H5" s="433" t="s">
        <v>336</v>
      </c>
      <c r="I5" s="433" t="s">
        <v>337</v>
      </c>
      <c r="J5" s="433" t="s">
        <v>338</v>
      </c>
    </row>
    <row r="6" spans="1:10" ht="30" customHeight="1">
      <c r="A6" s="743" t="s">
        <v>101</v>
      </c>
      <c r="B6" s="745" t="s">
        <v>616</v>
      </c>
      <c r="C6" s="746"/>
      <c r="D6" s="746"/>
      <c r="E6" s="747"/>
      <c r="F6" s="747"/>
      <c r="G6" s="747"/>
      <c r="H6" s="747"/>
      <c r="I6" s="747"/>
      <c r="J6" s="747"/>
    </row>
    <row r="7" spans="1:10" ht="30" customHeight="1">
      <c r="A7" s="743">
        <v>1</v>
      </c>
      <c r="B7" s="747" t="s">
        <v>617</v>
      </c>
      <c r="C7" s="746"/>
      <c r="D7" s="748">
        <f aca="true" t="shared" si="0" ref="D7:J7">D9+D10</f>
        <v>7</v>
      </c>
      <c r="E7" s="747">
        <f t="shared" si="0"/>
        <v>7</v>
      </c>
      <c r="F7" s="747">
        <f t="shared" si="0"/>
        <v>7</v>
      </c>
      <c r="G7" s="747">
        <f t="shared" si="0"/>
        <v>7</v>
      </c>
      <c r="H7" s="747">
        <f t="shared" si="0"/>
        <v>7</v>
      </c>
      <c r="I7" s="747">
        <f t="shared" si="0"/>
        <v>7</v>
      </c>
      <c r="J7" s="747">
        <f t="shared" si="0"/>
        <v>7</v>
      </c>
    </row>
    <row r="8" spans="1:10" ht="30" customHeight="1">
      <c r="A8" s="743"/>
      <c r="B8" s="747" t="s">
        <v>214</v>
      </c>
      <c r="C8" s="746" t="s">
        <v>618</v>
      </c>
      <c r="D8" s="748"/>
      <c r="E8" s="747"/>
      <c r="F8" s="747"/>
      <c r="G8" s="747"/>
      <c r="H8" s="747"/>
      <c r="I8" s="747"/>
      <c r="J8" s="747"/>
    </row>
    <row r="9" spans="1:10" ht="30" customHeight="1">
      <c r="A9" s="743"/>
      <c r="B9" s="749" t="s">
        <v>619</v>
      </c>
      <c r="C9" s="746" t="s">
        <v>618</v>
      </c>
      <c r="D9" s="994">
        <v>2</v>
      </c>
      <c r="E9" s="995">
        <v>2</v>
      </c>
      <c r="F9" s="747">
        <v>2</v>
      </c>
      <c r="G9" s="747">
        <v>2</v>
      </c>
      <c r="H9" s="747">
        <v>2</v>
      </c>
      <c r="I9" s="747">
        <v>2</v>
      </c>
      <c r="J9" s="747">
        <v>2</v>
      </c>
    </row>
    <row r="10" spans="1:10" ht="30" customHeight="1">
      <c r="A10" s="743"/>
      <c r="B10" s="749" t="s">
        <v>620</v>
      </c>
      <c r="C10" s="746" t="s">
        <v>618</v>
      </c>
      <c r="D10" s="994">
        <v>5</v>
      </c>
      <c r="E10" s="995">
        <v>5</v>
      </c>
      <c r="F10" s="747">
        <v>5</v>
      </c>
      <c r="G10" s="747">
        <v>5</v>
      </c>
      <c r="H10" s="747">
        <v>5</v>
      </c>
      <c r="I10" s="747">
        <v>5</v>
      </c>
      <c r="J10" s="747">
        <v>5</v>
      </c>
    </row>
    <row r="11" spans="1:10" ht="30" customHeight="1">
      <c r="A11" s="743">
        <v>2</v>
      </c>
      <c r="B11" s="747" t="s">
        <v>621</v>
      </c>
      <c r="C11" s="746" t="s">
        <v>618</v>
      </c>
      <c r="D11" s="994">
        <v>3</v>
      </c>
      <c r="E11" s="995"/>
      <c r="F11" s="747"/>
      <c r="G11" s="747"/>
      <c r="H11" s="747"/>
      <c r="I11" s="747"/>
      <c r="J11" s="747"/>
    </row>
    <row r="12" spans="1:10" ht="64.5" customHeight="1">
      <c r="A12" s="743">
        <v>3</v>
      </c>
      <c r="B12" s="747" t="s">
        <v>622</v>
      </c>
      <c r="C12" s="746" t="s">
        <v>618</v>
      </c>
      <c r="D12" s="994">
        <v>5</v>
      </c>
      <c r="E12" s="995"/>
      <c r="F12" s="747"/>
      <c r="G12" s="747"/>
      <c r="H12" s="747"/>
      <c r="I12" s="747"/>
      <c r="J12" s="747"/>
    </row>
    <row r="13" spans="1:10" ht="30" customHeight="1">
      <c r="A13" s="743">
        <v>4</v>
      </c>
      <c r="B13" s="747" t="s">
        <v>623</v>
      </c>
      <c r="C13" s="746" t="s">
        <v>316</v>
      </c>
      <c r="D13" s="996">
        <v>860860</v>
      </c>
      <c r="E13" s="997">
        <f>(D13*5%)+D13</f>
        <v>903903</v>
      </c>
      <c r="F13" s="751">
        <f>(E13*5%)+E13</f>
        <v>949098.15</v>
      </c>
      <c r="G13" s="751">
        <f>(F13*5%)+F13</f>
        <v>996553.0575</v>
      </c>
      <c r="H13" s="751">
        <f>(G13*5%)+G13</f>
        <v>1046380.710375</v>
      </c>
      <c r="I13" s="751">
        <f>(H13*5%)+H13</f>
        <v>1098699.74589375</v>
      </c>
      <c r="J13" s="751">
        <f>I13</f>
        <v>1098699.74589375</v>
      </c>
    </row>
    <row r="14" spans="1:10" ht="30" customHeight="1">
      <c r="A14" s="743">
        <v>5</v>
      </c>
      <c r="B14" s="747" t="s">
        <v>624</v>
      </c>
      <c r="C14" s="746" t="s">
        <v>316</v>
      </c>
      <c r="D14" s="750">
        <v>779313</v>
      </c>
      <c r="E14" s="751">
        <f>(D14*2%)+D14</f>
        <v>794899.26</v>
      </c>
      <c r="F14" s="751">
        <f>(E14*2%)+E14</f>
        <v>810797.2452</v>
      </c>
      <c r="G14" s="751">
        <f>(F14*2%)+F14</f>
        <v>827013.190104</v>
      </c>
      <c r="H14" s="751">
        <f>(G14*2%)+G14</f>
        <v>843553.45390608</v>
      </c>
      <c r="I14" s="751">
        <f>(H14*2%)+H14</f>
        <v>860424.5229842016</v>
      </c>
      <c r="J14" s="751">
        <f>I14</f>
        <v>860424.5229842016</v>
      </c>
    </row>
    <row r="15" spans="1:10" ht="30" customHeight="1">
      <c r="A15" s="743">
        <v>6</v>
      </c>
      <c r="B15" s="747" t="s">
        <v>625</v>
      </c>
      <c r="C15" s="746" t="s">
        <v>316</v>
      </c>
      <c r="D15" s="750">
        <v>239707</v>
      </c>
      <c r="E15" s="751">
        <v>50626</v>
      </c>
      <c r="F15" s="751">
        <f aca="true" t="shared" si="1" ref="F15:I16">(E15*5.6%)+E15</f>
        <v>53461.056</v>
      </c>
      <c r="G15" s="751">
        <f t="shared" si="1"/>
        <v>56454.875135999995</v>
      </c>
      <c r="H15" s="751">
        <f t="shared" si="1"/>
        <v>59616.34814361599</v>
      </c>
      <c r="I15" s="751">
        <f t="shared" si="1"/>
        <v>62954.86363965849</v>
      </c>
      <c r="J15" s="751">
        <f>SUM(E15:I15)</f>
        <v>283113.1429192745</v>
      </c>
    </row>
    <row r="16" spans="1:10" ht="30" customHeight="1">
      <c r="A16" s="743">
        <v>7</v>
      </c>
      <c r="B16" s="747" t="s">
        <v>626</v>
      </c>
      <c r="C16" s="746" t="s">
        <v>316</v>
      </c>
      <c r="D16" s="750">
        <v>2089956</v>
      </c>
      <c r="E16" s="751">
        <v>441398</v>
      </c>
      <c r="F16" s="751">
        <f t="shared" si="1"/>
        <v>466116.288</v>
      </c>
      <c r="G16" s="751">
        <f t="shared" si="1"/>
        <v>492218.800128</v>
      </c>
      <c r="H16" s="751">
        <f t="shared" si="1"/>
        <v>519783.052935168</v>
      </c>
      <c r="I16" s="751">
        <f t="shared" si="1"/>
        <v>548890.9038995374</v>
      </c>
      <c r="J16" s="751">
        <f>SUM(E16:I16)</f>
        <v>2468407.044962705</v>
      </c>
    </row>
    <row r="17" spans="1:10" ht="30" customHeight="1">
      <c r="A17" s="743">
        <v>8</v>
      </c>
      <c r="B17" s="747" t="s">
        <v>627</v>
      </c>
      <c r="C17" s="746" t="s">
        <v>316</v>
      </c>
      <c r="D17" s="750">
        <v>20100</v>
      </c>
      <c r="E17" s="751">
        <v>4181</v>
      </c>
      <c r="F17" s="751">
        <f>(E17*4%)+E17</f>
        <v>4348.24</v>
      </c>
      <c r="G17" s="751">
        <f>(F17*4%)+F17</f>
        <v>4522.1696</v>
      </c>
      <c r="H17" s="751">
        <f>(G17*4%)+G17</f>
        <v>4703.056384</v>
      </c>
      <c r="I17" s="751">
        <f>(H17*4%)+H17</f>
        <v>4891.1786393600005</v>
      </c>
      <c r="J17" s="751">
        <f>SUM(E17:I17)</f>
        <v>22645.64462336</v>
      </c>
    </row>
    <row r="18" spans="1:10" ht="30" customHeight="1">
      <c r="A18" s="743">
        <v>9</v>
      </c>
      <c r="B18" s="747" t="s">
        <v>628</v>
      </c>
      <c r="C18" s="998" t="s">
        <v>316</v>
      </c>
      <c r="D18" s="996">
        <v>205731</v>
      </c>
      <c r="E18" s="997">
        <v>208817</v>
      </c>
      <c r="F18" s="997">
        <f>(E18*1.5%)+E18</f>
        <v>211949.255</v>
      </c>
      <c r="G18" s="997">
        <f>(F18*1.5%)+F18</f>
        <v>215128.493825</v>
      </c>
      <c r="H18" s="751">
        <f>(G18*1.5%)+G18</f>
        <v>218355.42123237503</v>
      </c>
      <c r="I18" s="751">
        <f>(H18*1.5%)+H18</f>
        <v>221630.75255086066</v>
      </c>
      <c r="J18" s="751">
        <f>I18</f>
        <v>221630.75255086066</v>
      </c>
    </row>
    <row r="19" spans="1:10" ht="30" customHeight="1">
      <c r="A19" s="743" t="s">
        <v>102</v>
      </c>
      <c r="B19" s="745" t="s">
        <v>629</v>
      </c>
      <c r="C19" s="998"/>
      <c r="D19" s="996"/>
      <c r="E19" s="997"/>
      <c r="F19" s="997"/>
      <c r="G19" s="997"/>
      <c r="H19" s="751"/>
      <c r="I19" s="751"/>
      <c r="J19" s="751"/>
    </row>
    <row r="20" spans="1:10" ht="33">
      <c r="A20" s="743">
        <v>1</v>
      </c>
      <c r="B20" s="747" t="s">
        <v>630</v>
      </c>
      <c r="C20" s="998" t="s">
        <v>618</v>
      </c>
      <c r="D20" s="996">
        <v>1018</v>
      </c>
      <c r="E20" s="997">
        <v>1135</v>
      </c>
      <c r="F20" s="997">
        <v>1245</v>
      </c>
      <c r="G20" s="997">
        <v>1365</v>
      </c>
      <c r="H20" s="751">
        <v>1495</v>
      </c>
      <c r="I20" s="751">
        <v>1635</v>
      </c>
      <c r="J20" s="751">
        <f>I20</f>
        <v>1635</v>
      </c>
    </row>
    <row r="21" spans="1:10" ht="30" customHeight="1">
      <c r="A21" s="743">
        <v>2</v>
      </c>
      <c r="B21" s="747" t="s">
        <v>631</v>
      </c>
      <c r="C21" s="998" t="s">
        <v>618</v>
      </c>
      <c r="D21" s="999">
        <v>652</v>
      </c>
      <c r="E21" s="997">
        <f>D21+(D21*7%)</f>
        <v>697.64</v>
      </c>
      <c r="F21" s="997">
        <f>E21+(E21*7%)</f>
        <v>746.4748</v>
      </c>
      <c r="G21" s="997">
        <f>F21+(F21*7%)</f>
        <v>798.728036</v>
      </c>
      <c r="H21" s="751">
        <f>G21+(G21*7%)</f>
        <v>854.63899852</v>
      </c>
      <c r="I21" s="751">
        <f>H21+(H21*7%)</f>
        <v>914.4637284163999</v>
      </c>
      <c r="J21" s="751">
        <f>I21</f>
        <v>914.4637284163999</v>
      </c>
    </row>
    <row r="22" spans="1:11" ht="30" customHeight="1">
      <c r="A22" s="743">
        <v>3</v>
      </c>
      <c r="B22" s="747" t="s">
        <v>632</v>
      </c>
      <c r="C22" s="998" t="s">
        <v>514</v>
      </c>
      <c r="D22" s="999">
        <v>32071</v>
      </c>
      <c r="E22" s="997">
        <v>33621</v>
      </c>
      <c r="F22" s="997">
        <f>(E22*5%)+E22</f>
        <v>35302.05</v>
      </c>
      <c r="G22" s="997">
        <f>(F22*5%)+F22</f>
        <v>37067.152500000004</v>
      </c>
      <c r="H22" s="751">
        <f>(G22*5%)+G22</f>
        <v>38920.510125</v>
      </c>
      <c r="I22" s="751">
        <f>(H22*5%)+H22</f>
        <v>40866.53563125</v>
      </c>
      <c r="J22" s="751">
        <f>SUM(E22:I22)</f>
        <v>185777.24825625002</v>
      </c>
      <c r="K22" s="753"/>
    </row>
    <row r="23" spans="1:10" ht="30" customHeight="1">
      <c r="A23" s="743"/>
      <c r="B23" s="754" t="s">
        <v>633</v>
      </c>
      <c r="C23" s="998" t="s">
        <v>514</v>
      </c>
      <c r="D23" s="999">
        <v>5471</v>
      </c>
      <c r="E23" s="997">
        <f>D23+(D23*1.5%)</f>
        <v>5553.065</v>
      </c>
      <c r="F23" s="997">
        <f>E23+(E23*1.5%)</f>
        <v>5636.360975</v>
      </c>
      <c r="G23" s="997">
        <f>F23+(F23*1.5%)</f>
        <v>5720.906389625</v>
      </c>
      <c r="H23" s="751">
        <f>G23+(G23*1.5%)</f>
        <v>5806.719985469375</v>
      </c>
      <c r="I23" s="751">
        <f>H23+(H23*1.5%)</f>
        <v>5893.820785251416</v>
      </c>
      <c r="J23" s="751">
        <f>SUM(E23:I23)</f>
        <v>28610.87313534579</v>
      </c>
    </row>
    <row r="24" spans="1:11" ht="42.75" customHeight="1">
      <c r="A24" s="743">
        <v>4</v>
      </c>
      <c r="B24" s="747" t="s">
        <v>634</v>
      </c>
      <c r="C24" s="998" t="s">
        <v>635</v>
      </c>
      <c r="D24" s="999">
        <v>4</v>
      </c>
      <c r="E24" s="997">
        <v>5</v>
      </c>
      <c r="F24" s="997">
        <v>5</v>
      </c>
      <c r="G24" s="997">
        <v>5</v>
      </c>
      <c r="H24" s="751">
        <v>5</v>
      </c>
      <c r="I24" s="751">
        <v>5</v>
      </c>
      <c r="J24" s="751">
        <f>I24</f>
        <v>5</v>
      </c>
      <c r="K24" s="753"/>
    </row>
    <row r="25" spans="1:11" ht="30" customHeight="1">
      <c r="A25" s="743">
        <v>5</v>
      </c>
      <c r="B25" s="747" t="s">
        <v>636</v>
      </c>
      <c r="C25" s="998" t="s">
        <v>316</v>
      </c>
      <c r="D25" s="999">
        <v>3759564</v>
      </c>
      <c r="E25" s="997">
        <v>3947542</v>
      </c>
      <c r="F25" s="997">
        <f>(E25*5%)+E25</f>
        <v>4144919.1</v>
      </c>
      <c r="G25" s="997">
        <f>(F25*5%)+F25</f>
        <v>4352165.055</v>
      </c>
      <c r="H25" s="751">
        <f>(G25*5%)+G25</f>
        <v>4569773.30775</v>
      </c>
      <c r="I25" s="751">
        <f>(H25*5%)+H25</f>
        <v>4798261.9731375</v>
      </c>
      <c r="J25" s="751">
        <f>I25</f>
        <v>4798261.9731375</v>
      </c>
      <c r="K25" s="753"/>
    </row>
    <row r="26" spans="1:10" ht="30" customHeight="1">
      <c r="A26" s="743">
        <v>6</v>
      </c>
      <c r="B26" s="747" t="s">
        <v>637</v>
      </c>
      <c r="C26" s="998" t="s">
        <v>316</v>
      </c>
      <c r="D26" s="999">
        <v>38565825</v>
      </c>
      <c r="E26" s="999">
        <v>8253087</v>
      </c>
      <c r="F26" s="999">
        <f>(E26*7%)+E26</f>
        <v>8830803.09</v>
      </c>
      <c r="G26" s="999">
        <f>(F26*7%)+F26</f>
        <v>9448959.3063</v>
      </c>
      <c r="H26" s="752">
        <f>(G26*7%)+G26</f>
        <v>10110386.457741</v>
      </c>
      <c r="I26" s="752">
        <f>(H26*7%)+H26</f>
        <v>10818113.50978287</v>
      </c>
      <c r="J26" s="751">
        <f>SUM(E26:I26)</f>
        <v>47461349.36382386</v>
      </c>
    </row>
    <row r="27" spans="1:10" ht="30" customHeight="1">
      <c r="A27" s="743">
        <v>7</v>
      </c>
      <c r="B27" s="747" t="s">
        <v>638</v>
      </c>
      <c r="C27" s="998" t="s">
        <v>316</v>
      </c>
      <c r="D27" s="999">
        <v>1110926</v>
      </c>
      <c r="E27" s="997">
        <v>228851</v>
      </c>
      <c r="F27" s="997">
        <f>(E27*3%)+E27</f>
        <v>235716.53</v>
      </c>
      <c r="G27" s="997">
        <f>(F27*3%)+F27</f>
        <v>242788.0259</v>
      </c>
      <c r="H27" s="751">
        <f>(G27*3%)+G27</f>
        <v>250071.666677</v>
      </c>
      <c r="I27" s="751">
        <f>(H27*3%)+H27</f>
        <v>257573.81667731</v>
      </c>
      <c r="J27" s="751">
        <f>SUM(E27:I27)</f>
        <v>1215001.03925431</v>
      </c>
    </row>
    <row r="28" spans="1:10" ht="30" customHeight="1">
      <c r="A28" s="743">
        <v>8</v>
      </c>
      <c r="B28" s="747" t="s">
        <v>639</v>
      </c>
      <c r="C28" s="998" t="s">
        <v>316</v>
      </c>
      <c r="D28" s="999">
        <v>952404</v>
      </c>
      <c r="E28" s="997">
        <v>200004</v>
      </c>
      <c r="F28" s="997">
        <f>(E28*5%)+E27:E28</f>
        <v>210004.2</v>
      </c>
      <c r="G28" s="997">
        <f>(F28*5%)+F27:F28</f>
        <v>220504.41</v>
      </c>
      <c r="H28" s="751">
        <f>(G28*5%)+G27:G28</f>
        <v>231529.6305</v>
      </c>
      <c r="I28" s="751">
        <f>(H28*5%)+H27:H28</f>
        <v>243106.112025</v>
      </c>
      <c r="J28" s="751">
        <f>SUM(E28:I28)</f>
        <v>1105148.352525</v>
      </c>
    </row>
    <row r="29" spans="1:10" ht="62.25" customHeight="1">
      <c r="A29" s="743">
        <v>9</v>
      </c>
      <c r="B29" s="747" t="s">
        <v>640</v>
      </c>
      <c r="C29" s="746" t="s">
        <v>316</v>
      </c>
      <c r="D29" s="752">
        <v>474</v>
      </c>
      <c r="E29" s="752">
        <f>160*3</f>
        <v>480</v>
      </c>
      <c r="F29" s="752">
        <f>170*3</f>
        <v>510</v>
      </c>
      <c r="G29" s="752">
        <f>180*3</f>
        <v>540</v>
      </c>
      <c r="H29" s="752">
        <f>190*3</f>
        <v>570</v>
      </c>
      <c r="I29" s="752">
        <f>200*3</f>
        <v>600</v>
      </c>
      <c r="J29" s="751">
        <f>SUM(E29:I29)</f>
        <v>2700</v>
      </c>
    </row>
    <row r="30" spans="2:10" ht="18.75">
      <c r="B30" s="741"/>
      <c r="C30" s="742"/>
      <c r="D30" s="742"/>
      <c r="E30" s="741"/>
      <c r="F30" s="741"/>
      <c r="G30" s="741"/>
      <c r="H30" s="741"/>
      <c r="I30" s="741"/>
      <c r="J30" s="741"/>
    </row>
    <row r="31" spans="1:10" ht="42" customHeight="1">
      <c r="A31" s="1229" t="s">
        <v>641</v>
      </c>
      <c r="B31" s="1229"/>
      <c r="C31" s="1229"/>
      <c r="D31" s="1229"/>
      <c r="E31" s="1229"/>
      <c r="F31" s="1229"/>
      <c r="G31" s="1229"/>
      <c r="H31" s="1229"/>
      <c r="I31" s="1229"/>
      <c r="J31" s="1229"/>
    </row>
    <row r="32" spans="2:10" ht="18.75">
      <c r="B32" s="741"/>
      <c r="C32" s="742"/>
      <c r="D32" s="742"/>
      <c r="E32" s="741"/>
      <c r="F32" s="741"/>
      <c r="G32" s="741"/>
      <c r="H32" s="741"/>
      <c r="I32" s="741"/>
      <c r="J32" s="741"/>
    </row>
    <row r="33" spans="2:10" ht="18.75">
      <c r="B33" s="741"/>
      <c r="C33" s="742"/>
      <c r="D33" s="742"/>
      <c r="E33" s="741"/>
      <c r="F33" s="741"/>
      <c r="G33" s="741"/>
      <c r="H33" s="741"/>
      <c r="I33" s="741"/>
      <c r="J33" s="741"/>
    </row>
    <row r="34" spans="2:10" ht="18.75">
      <c r="B34" s="741"/>
      <c r="C34" s="742"/>
      <c r="D34" s="742"/>
      <c r="E34" s="741"/>
      <c r="F34" s="741"/>
      <c r="G34" s="741"/>
      <c r="H34" s="741"/>
      <c r="I34" s="741"/>
      <c r="J34" s="741"/>
    </row>
    <row r="35" spans="2:10" ht="18.75">
      <c r="B35" s="741"/>
      <c r="C35" s="742"/>
      <c r="D35" s="742"/>
      <c r="E35" s="741"/>
      <c r="F35" s="741"/>
      <c r="G35" s="741"/>
      <c r="H35" s="741"/>
      <c r="I35" s="741"/>
      <c r="J35" s="741"/>
    </row>
    <row r="36" spans="2:10" ht="18.75">
      <c r="B36" s="741"/>
      <c r="C36" s="742"/>
      <c r="D36" s="742"/>
      <c r="E36" s="741"/>
      <c r="F36" s="741"/>
      <c r="G36" s="741"/>
      <c r="H36" s="741"/>
      <c r="I36" s="741"/>
      <c r="J36" s="741"/>
    </row>
    <row r="37" spans="2:10" ht="18.75">
      <c r="B37" s="741"/>
      <c r="C37" s="742"/>
      <c r="D37" s="742"/>
      <c r="E37" s="741"/>
      <c r="F37" s="741"/>
      <c r="G37" s="741"/>
      <c r="H37" s="741"/>
      <c r="I37" s="741"/>
      <c r="J37" s="741"/>
    </row>
    <row r="38" spans="2:10" ht="18.75">
      <c r="B38" s="741"/>
      <c r="C38" s="742"/>
      <c r="D38" s="742"/>
      <c r="E38" s="741"/>
      <c r="F38" s="741"/>
      <c r="G38" s="741"/>
      <c r="H38" s="741"/>
      <c r="I38" s="741"/>
      <c r="J38" s="741"/>
    </row>
    <row r="39" spans="2:10" ht="18.75">
      <c r="B39" s="741"/>
      <c r="C39" s="742"/>
      <c r="D39" s="742"/>
      <c r="E39" s="741"/>
      <c r="F39" s="741"/>
      <c r="G39" s="741"/>
      <c r="H39" s="741"/>
      <c r="I39" s="741"/>
      <c r="J39" s="741"/>
    </row>
    <row r="40" spans="2:10" ht="18.75">
      <c r="B40" s="741"/>
      <c r="C40" s="742"/>
      <c r="D40" s="742"/>
      <c r="E40" s="741"/>
      <c r="F40" s="741"/>
      <c r="G40" s="741"/>
      <c r="H40" s="741"/>
      <c r="I40" s="741"/>
      <c r="J40" s="741"/>
    </row>
    <row r="41" spans="2:10" ht="18.75">
      <c r="B41" s="741"/>
      <c r="C41" s="742"/>
      <c r="D41" s="742"/>
      <c r="E41" s="741"/>
      <c r="F41" s="741"/>
      <c r="G41" s="741"/>
      <c r="H41" s="741"/>
      <c r="I41" s="741"/>
      <c r="J41" s="741"/>
    </row>
    <row r="42" spans="2:10" ht="18.75">
      <c r="B42" s="741"/>
      <c r="C42" s="742"/>
      <c r="D42" s="742"/>
      <c r="E42" s="741"/>
      <c r="F42" s="741"/>
      <c r="G42" s="741"/>
      <c r="H42" s="741"/>
      <c r="I42" s="741"/>
      <c r="J42" s="741"/>
    </row>
    <row r="43" spans="2:10" ht="18.75">
      <c r="B43" s="741"/>
      <c r="C43" s="742"/>
      <c r="D43" s="742"/>
      <c r="E43" s="741"/>
      <c r="F43" s="741"/>
      <c r="G43" s="741"/>
      <c r="H43" s="741"/>
      <c r="I43" s="741"/>
      <c r="J43" s="741"/>
    </row>
    <row r="44" spans="2:10" ht="18.75">
      <c r="B44" s="741"/>
      <c r="C44" s="742"/>
      <c r="D44" s="742"/>
      <c r="E44" s="741"/>
      <c r="F44" s="741"/>
      <c r="G44" s="741"/>
      <c r="H44" s="741"/>
      <c r="I44" s="741"/>
      <c r="J44" s="741"/>
    </row>
    <row r="45" spans="2:10" ht="18.75">
      <c r="B45" s="741"/>
      <c r="C45" s="742"/>
      <c r="D45" s="742"/>
      <c r="E45" s="741"/>
      <c r="F45" s="741"/>
      <c r="G45" s="741"/>
      <c r="H45" s="741"/>
      <c r="I45" s="741"/>
      <c r="J45" s="741"/>
    </row>
    <row r="46" spans="2:10" ht="18.75">
      <c r="B46" s="741"/>
      <c r="C46" s="742"/>
      <c r="D46" s="742"/>
      <c r="E46" s="741"/>
      <c r="F46" s="741"/>
      <c r="G46" s="741"/>
      <c r="H46" s="741"/>
      <c r="I46" s="741"/>
      <c r="J46" s="741"/>
    </row>
    <row r="47" spans="2:10" ht="18.75">
      <c r="B47" s="741"/>
      <c r="C47" s="742"/>
      <c r="D47" s="742"/>
      <c r="E47" s="741"/>
      <c r="F47" s="741"/>
      <c r="G47" s="741"/>
      <c r="H47" s="741"/>
      <c r="I47" s="741"/>
      <c r="J47" s="741"/>
    </row>
    <row r="48" spans="2:10" ht="18.75">
      <c r="B48" s="741"/>
      <c r="C48" s="742"/>
      <c r="D48" s="742"/>
      <c r="E48" s="741"/>
      <c r="F48" s="741"/>
      <c r="G48" s="741"/>
      <c r="H48" s="741"/>
      <c r="I48" s="741"/>
      <c r="J48" s="741"/>
    </row>
    <row r="49" spans="2:10" ht="18.75">
      <c r="B49" s="741"/>
      <c r="C49" s="742"/>
      <c r="D49" s="742"/>
      <c r="E49" s="741"/>
      <c r="F49" s="741"/>
      <c r="G49" s="741"/>
      <c r="H49" s="741"/>
      <c r="I49" s="741"/>
      <c r="J49" s="741"/>
    </row>
    <row r="50" spans="2:10" ht="18.75">
      <c r="B50" s="741"/>
      <c r="C50" s="742"/>
      <c r="D50" s="742"/>
      <c r="E50" s="741"/>
      <c r="F50" s="741"/>
      <c r="G50" s="741"/>
      <c r="H50" s="741"/>
      <c r="I50" s="741"/>
      <c r="J50" s="741"/>
    </row>
    <row r="51" spans="2:10" ht="18.75">
      <c r="B51" s="741"/>
      <c r="C51" s="742"/>
      <c r="D51" s="742"/>
      <c r="E51" s="741"/>
      <c r="F51" s="741"/>
      <c r="G51" s="741"/>
      <c r="H51" s="741"/>
      <c r="I51" s="741"/>
      <c r="J51" s="741"/>
    </row>
    <row r="52" spans="2:10" ht="18.75">
      <c r="B52" s="741"/>
      <c r="C52" s="742"/>
      <c r="D52" s="742"/>
      <c r="E52" s="741"/>
      <c r="F52" s="741"/>
      <c r="G52" s="741"/>
      <c r="H52" s="741"/>
      <c r="I52" s="741"/>
      <c r="J52" s="741"/>
    </row>
    <row r="53" spans="2:10" ht="18.75">
      <c r="B53" s="741"/>
      <c r="C53" s="742"/>
      <c r="D53" s="742"/>
      <c r="E53" s="741"/>
      <c r="F53" s="741"/>
      <c r="G53" s="741"/>
      <c r="H53" s="741"/>
      <c r="I53" s="741"/>
      <c r="J53" s="741"/>
    </row>
    <row r="54" spans="2:10" ht="18.75">
      <c r="B54" s="741"/>
      <c r="C54" s="742"/>
      <c r="D54" s="742"/>
      <c r="E54" s="741"/>
      <c r="F54" s="741"/>
      <c r="G54" s="741"/>
      <c r="H54" s="741"/>
      <c r="I54" s="741"/>
      <c r="J54" s="741"/>
    </row>
    <row r="55" spans="2:10" ht="18.75">
      <c r="B55" s="741"/>
      <c r="C55" s="742"/>
      <c r="D55" s="742"/>
      <c r="E55" s="741"/>
      <c r="F55" s="741"/>
      <c r="G55" s="741"/>
      <c r="H55" s="741"/>
      <c r="I55" s="741"/>
      <c r="J55" s="741"/>
    </row>
    <row r="56" spans="2:10" ht="18.75">
      <c r="B56" s="741"/>
      <c r="C56" s="742"/>
      <c r="D56" s="742"/>
      <c r="E56" s="741"/>
      <c r="F56" s="741"/>
      <c r="G56" s="741"/>
      <c r="H56" s="741"/>
      <c r="I56" s="741"/>
      <c r="J56" s="741"/>
    </row>
    <row r="57" spans="2:10" ht="18.75">
      <c r="B57" s="741"/>
      <c r="C57" s="742"/>
      <c r="D57" s="742"/>
      <c r="E57" s="741"/>
      <c r="F57" s="741"/>
      <c r="G57" s="741"/>
      <c r="H57" s="741"/>
      <c r="I57" s="741"/>
      <c r="J57" s="741"/>
    </row>
    <row r="58" spans="2:10" ht="18.75">
      <c r="B58" s="741"/>
      <c r="C58" s="742"/>
      <c r="D58" s="742"/>
      <c r="E58" s="741"/>
      <c r="F58" s="741"/>
      <c r="G58" s="741"/>
      <c r="H58" s="741"/>
      <c r="I58" s="741"/>
      <c r="J58" s="741"/>
    </row>
    <row r="59" spans="2:10" ht="18.75">
      <c r="B59" s="741"/>
      <c r="C59" s="742"/>
      <c r="D59" s="742"/>
      <c r="E59" s="741"/>
      <c r="F59" s="741"/>
      <c r="G59" s="741"/>
      <c r="H59" s="741"/>
      <c r="I59" s="741"/>
      <c r="J59" s="741"/>
    </row>
    <row r="60" spans="2:10" ht="18.75">
      <c r="B60" s="741"/>
      <c r="C60" s="742"/>
      <c r="D60" s="742"/>
      <c r="E60" s="741"/>
      <c r="F60" s="741"/>
      <c r="G60" s="741"/>
      <c r="H60" s="741"/>
      <c r="I60" s="741"/>
      <c r="J60" s="741"/>
    </row>
    <row r="61" spans="2:10" ht="18.75">
      <c r="B61" s="741"/>
      <c r="C61" s="742"/>
      <c r="D61" s="742"/>
      <c r="E61" s="741"/>
      <c r="F61" s="741"/>
      <c r="G61" s="741"/>
      <c r="H61" s="741"/>
      <c r="I61" s="741"/>
      <c r="J61" s="741"/>
    </row>
    <row r="62" spans="2:10" ht="18.75">
      <c r="B62" s="741"/>
      <c r="C62" s="742"/>
      <c r="D62" s="742"/>
      <c r="E62" s="741"/>
      <c r="F62" s="741"/>
      <c r="G62" s="741"/>
      <c r="H62" s="741"/>
      <c r="I62" s="741"/>
      <c r="J62" s="741"/>
    </row>
    <row r="63" spans="2:10" ht="18.75">
      <c r="B63" s="741"/>
      <c r="C63" s="742"/>
      <c r="D63" s="742"/>
      <c r="E63" s="741"/>
      <c r="F63" s="741"/>
      <c r="G63" s="741"/>
      <c r="H63" s="741"/>
      <c r="I63" s="741"/>
      <c r="J63" s="741"/>
    </row>
    <row r="64" spans="2:10" ht="18.75">
      <c r="B64" s="741"/>
      <c r="C64" s="742"/>
      <c r="D64" s="742"/>
      <c r="E64" s="741"/>
      <c r="F64" s="741"/>
      <c r="G64" s="741"/>
      <c r="H64" s="741"/>
      <c r="I64" s="741"/>
      <c r="J64" s="741"/>
    </row>
    <row r="65" spans="2:10" ht="18.75">
      <c r="B65" s="741"/>
      <c r="C65" s="742"/>
      <c r="D65" s="742"/>
      <c r="E65" s="741"/>
      <c r="F65" s="741"/>
      <c r="G65" s="741"/>
      <c r="H65" s="741"/>
      <c r="I65" s="741"/>
      <c r="J65" s="741"/>
    </row>
    <row r="66" spans="2:10" ht="18.75">
      <c r="B66" s="741"/>
      <c r="C66" s="742"/>
      <c r="D66" s="742"/>
      <c r="E66" s="741"/>
      <c r="F66" s="741"/>
      <c r="G66" s="741"/>
      <c r="H66" s="741"/>
      <c r="I66" s="741"/>
      <c r="J66" s="741"/>
    </row>
    <row r="67" spans="2:10" ht="18.75">
      <c r="B67" s="741"/>
      <c r="C67" s="742"/>
      <c r="D67" s="742"/>
      <c r="E67" s="741"/>
      <c r="F67" s="741"/>
      <c r="G67" s="741"/>
      <c r="H67" s="741"/>
      <c r="I67" s="741"/>
      <c r="J67" s="741"/>
    </row>
    <row r="68" spans="2:10" ht="18.75">
      <c r="B68" s="741"/>
      <c r="C68" s="742"/>
      <c r="D68" s="742"/>
      <c r="E68" s="741"/>
      <c r="F68" s="741"/>
      <c r="G68" s="741"/>
      <c r="H68" s="741"/>
      <c r="I68" s="741"/>
      <c r="J68" s="741"/>
    </row>
    <row r="69" spans="2:10" ht="18.75">
      <c r="B69" s="741"/>
      <c r="C69" s="742"/>
      <c r="D69" s="742"/>
      <c r="E69" s="741"/>
      <c r="F69" s="741"/>
      <c r="G69" s="741"/>
      <c r="H69" s="741"/>
      <c r="I69" s="741"/>
      <c r="J69" s="741"/>
    </row>
    <row r="70" spans="2:10" ht="18.75">
      <c r="B70" s="741"/>
      <c r="C70" s="742"/>
      <c r="D70" s="742"/>
      <c r="E70" s="741"/>
      <c r="F70" s="741"/>
      <c r="G70" s="741"/>
      <c r="H70" s="741"/>
      <c r="I70" s="741"/>
      <c r="J70" s="741"/>
    </row>
    <row r="71" spans="2:10" ht="18.75">
      <c r="B71" s="741"/>
      <c r="C71" s="742"/>
      <c r="D71" s="742"/>
      <c r="E71" s="741"/>
      <c r="F71" s="741"/>
      <c r="G71" s="741"/>
      <c r="H71" s="741"/>
      <c r="I71" s="741"/>
      <c r="J71" s="741"/>
    </row>
    <row r="72" spans="2:10" ht="18.75">
      <c r="B72" s="741"/>
      <c r="C72" s="742"/>
      <c r="D72" s="742"/>
      <c r="E72" s="741"/>
      <c r="F72" s="741"/>
      <c r="G72" s="741"/>
      <c r="H72" s="741"/>
      <c r="I72" s="741"/>
      <c r="J72" s="741"/>
    </row>
    <row r="73" spans="2:10" ht="18.75">
      <c r="B73" s="741"/>
      <c r="C73" s="742"/>
      <c r="D73" s="742"/>
      <c r="E73" s="741"/>
      <c r="F73" s="741"/>
      <c r="G73" s="741"/>
      <c r="H73" s="741"/>
      <c r="I73" s="741"/>
      <c r="J73" s="741"/>
    </row>
    <row r="74" spans="2:10" ht="18.75">
      <c r="B74" s="741"/>
      <c r="C74" s="742"/>
      <c r="D74" s="742"/>
      <c r="E74" s="741"/>
      <c r="F74" s="741"/>
      <c r="G74" s="741"/>
      <c r="H74" s="741"/>
      <c r="I74" s="741"/>
      <c r="J74" s="741"/>
    </row>
    <row r="75" spans="2:10" ht="18.75">
      <c r="B75" s="741"/>
      <c r="C75" s="742"/>
      <c r="D75" s="742"/>
      <c r="E75" s="741"/>
      <c r="F75" s="741"/>
      <c r="G75" s="741"/>
      <c r="H75" s="741"/>
      <c r="I75" s="741"/>
      <c r="J75" s="741"/>
    </row>
    <row r="76" spans="2:10" ht="18.75">
      <c r="B76" s="741"/>
      <c r="C76" s="742"/>
      <c r="D76" s="742"/>
      <c r="E76" s="741"/>
      <c r="F76" s="741"/>
      <c r="G76" s="741"/>
      <c r="H76" s="741"/>
      <c r="I76" s="741"/>
      <c r="J76" s="741"/>
    </row>
    <row r="77" spans="2:10" ht="18.75">
      <c r="B77" s="741"/>
      <c r="C77" s="742"/>
      <c r="D77" s="742"/>
      <c r="E77" s="741"/>
      <c r="F77" s="741"/>
      <c r="G77" s="741"/>
      <c r="H77" s="741"/>
      <c r="I77" s="741"/>
      <c r="J77" s="741"/>
    </row>
    <row r="78" spans="2:10" ht="18.75">
      <c r="B78" s="741"/>
      <c r="C78" s="742"/>
      <c r="D78" s="742"/>
      <c r="E78" s="741"/>
      <c r="F78" s="741"/>
      <c r="G78" s="741"/>
      <c r="H78" s="741"/>
      <c r="I78" s="741"/>
      <c r="J78" s="741"/>
    </row>
    <row r="79" spans="2:10" ht="18.75">
      <c r="B79" s="741"/>
      <c r="C79" s="742"/>
      <c r="D79" s="742"/>
      <c r="E79" s="741"/>
      <c r="F79" s="741"/>
      <c r="G79" s="741"/>
      <c r="H79" s="741"/>
      <c r="I79" s="741"/>
      <c r="J79" s="741"/>
    </row>
    <row r="80" spans="2:10" ht="18.75">
      <c r="B80" s="741"/>
      <c r="C80" s="742"/>
      <c r="D80" s="742"/>
      <c r="E80" s="741"/>
      <c r="F80" s="741"/>
      <c r="G80" s="741"/>
      <c r="H80" s="741"/>
      <c r="I80" s="741"/>
      <c r="J80" s="741"/>
    </row>
    <row r="81" spans="2:10" ht="18.75">
      <c r="B81" s="741"/>
      <c r="C81" s="742"/>
      <c r="D81" s="742"/>
      <c r="E81" s="741"/>
      <c r="F81" s="741"/>
      <c r="G81" s="741"/>
      <c r="H81" s="741"/>
      <c r="I81" s="741"/>
      <c r="J81" s="741"/>
    </row>
    <row r="82" spans="2:10" ht="18.75">
      <c r="B82" s="741"/>
      <c r="C82" s="742"/>
      <c r="D82" s="742"/>
      <c r="E82" s="741"/>
      <c r="F82" s="741"/>
      <c r="G82" s="741"/>
      <c r="H82" s="741"/>
      <c r="I82" s="741"/>
      <c r="J82" s="741"/>
    </row>
    <row r="83" spans="2:10" ht="18.75">
      <c r="B83" s="741"/>
      <c r="C83" s="742"/>
      <c r="D83" s="742"/>
      <c r="E83" s="741"/>
      <c r="F83" s="741"/>
      <c r="G83" s="741"/>
      <c r="H83" s="741"/>
      <c r="I83" s="741"/>
      <c r="J83" s="741"/>
    </row>
    <row r="84" spans="2:10" ht="18.75">
      <c r="B84" s="741"/>
      <c r="C84" s="742"/>
      <c r="D84" s="742"/>
      <c r="E84" s="741"/>
      <c r="F84" s="741"/>
      <c r="G84" s="741"/>
      <c r="H84" s="741"/>
      <c r="I84" s="741"/>
      <c r="J84" s="741"/>
    </row>
    <row r="85" spans="2:10" ht="18.75">
      <c r="B85" s="741"/>
      <c r="C85" s="742"/>
      <c r="D85" s="742"/>
      <c r="E85" s="741"/>
      <c r="F85" s="741"/>
      <c r="G85" s="741"/>
      <c r="H85" s="741"/>
      <c r="I85" s="741"/>
      <c r="J85" s="741"/>
    </row>
    <row r="86" spans="2:10" ht="18.75">
      <c r="B86" s="741"/>
      <c r="C86" s="742"/>
      <c r="D86" s="742"/>
      <c r="E86" s="741"/>
      <c r="F86" s="741"/>
      <c r="G86" s="741"/>
      <c r="H86" s="741"/>
      <c r="I86" s="741"/>
      <c r="J86" s="741"/>
    </row>
    <row r="87" spans="2:10" ht="18.75">
      <c r="B87" s="741"/>
      <c r="C87" s="742"/>
      <c r="D87" s="742"/>
      <c r="E87" s="741"/>
      <c r="F87" s="741"/>
      <c r="G87" s="741"/>
      <c r="H87" s="741"/>
      <c r="I87" s="741"/>
      <c r="J87" s="741"/>
    </row>
    <row r="88" spans="2:10" ht="18.75">
      <c r="B88" s="741"/>
      <c r="C88" s="742"/>
      <c r="D88" s="742"/>
      <c r="E88" s="741"/>
      <c r="F88" s="741"/>
      <c r="G88" s="741"/>
      <c r="H88" s="741"/>
      <c r="I88" s="741"/>
      <c r="J88" s="741"/>
    </row>
    <row r="89" spans="2:10" ht="18.75">
      <c r="B89" s="741"/>
      <c r="C89" s="742"/>
      <c r="D89" s="742"/>
      <c r="E89" s="741"/>
      <c r="F89" s="741"/>
      <c r="G89" s="741"/>
      <c r="H89" s="741"/>
      <c r="I89" s="741"/>
      <c r="J89" s="741"/>
    </row>
    <row r="90" spans="2:10" ht="18.75">
      <c r="B90" s="741"/>
      <c r="C90" s="742"/>
      <c r="D90" s="742"/>
      <c r="E90" s="741"/>
      <c r="F90" s="741"/>
      <c r="G90" s="741"/>
      <c r="H90" s="741"/>
      <c r="I90" s="741"/>
      <c r="J90" s="741"/>
    </row>
    <row r="91" spans="2:10" ht="18.75">
      <c r="B91" s="741"/>
      <c r="C91" s="742"/>
      <c r="D91" s="742"/>
      <c r="E91" s="741"/>
      <c r="F91" s="741"/>
      <c r="G91" s="741"/>
      <c r="H91" s="741"/>
      <c r="I91" s="741"/>
      <c r="J91" s="741"/>
    </row>
    <row r="92" spans="2:10" ht="18.75">
      <c r="B92" s="741"/>
      <c r="C92" s="742"/>
      <c r="D92" s="742"/>
      <c r="E92" s="741"/>
      <c r="F92" s="741"/>
      <c r="G92" s="741"/>
      <c r="H92" s="741"/>
      <c r="I92" s="741"/>
      <c r="J92" s="741"/>
    </row>
    <row r="93" spans="2:10" ht="18.75">
      <c r="B93" s="741"/>
      <c r="C93" s="742"/>
      <c r="D93" s="742"/>
      <c r="E93" s="741"/>
      <c r="F93" s="741"/>
      <c r="G93" s="741"/>
      <c r="H93" s="741"/>
      <c r="I93" s="741"/>
      <c r="J93" s="741"/>
    </row>
    <row r="94" spans="2:10" ht="18.75">
      <c r="B94" s="741"/>
      <c r="C94" s="742"/>
      <c r="D94" s="742"/>
      <c r="E94" s="741"/>
      <c r="F94" s="741"/>
      <c r="G94" s="741"/>
      <c r="H94" s="741"/>
      <c r="I94" s="741"/>
      <c r="J94" s="741"/>
    </row>
    <row r="95" spans="2:10" ht="18.75">
      <c r="B95" s="741"/>
      <c r="C95" s="742"/>
      <c r="D95" s="742"/>
      <c r="E95" s="741"/>
      <c r="F95" s="741"/>
      <c r="G95" s="741"/>
      <c r="H95" s="741"/>
      <c r="I95" s="741"/>
      <c r="J95" s="741"/>
    </row>
    <row r="96" spans="2:10" ht="18.75">
      <c r="B96" s="741"/>
      <c r="C96" s="742"/>
      <c r="D96" s="742"/>
      <c r="E96" s="741"/>
      <c r="F96" s="741"/>
      <c r="G96" s="741"/>
      <c r="H96" s="741"/>
      <c r="I96" s="741"/>
      <c r="J96" s="741"/>
    </row>
    <row r="97" spans="2:10" ht="18.75">
      <c r="B97" s="741"/>
      <c r="C97" s="742"/>
      <c r="D97" s="742"/>
      <c r="E97" s="741"/>
      <c r="F97" s="741"/>
      <c r="G97" s="741"/>
      <c r="H97" s="741"/>
      <c r="I97" s="741"/>
      <c r="J97" s="741"/>
    </row>
    <row r="98" spans="2:10" ht="18.75">
      <c r="B98" s="741"/>
      <c r="C98" s="742"/>
      <c r="D98" s="742"/>
      <c r="E98" s="741"/>
      <c r="F98" s="741"/>
      <c r="G98" s="741"/>
      <c r="H98" s="741"/>
      <c r="I98" s="741"/>
      <c r="J98" s="741"/>
    </row>
    <row r="99" spans="2:10" ht="18.75">
      <c r="B99" s="741"/>
      <c r="C99" s="742"/>
      <c r="D99" s="742"/>
      <c r="E99" s="741"/>
      <c r="F99" s="741"/>
      <c r="G99" s="741"/>
      <c r="H99" s="741"/>
      <c r="I99" s="741"/>
      <c r="J99" s="741"/>
    </row>
    <row r="100" spans="2:10" ht="18.75">
      <c r="B100" s="741"/>
      <c r="C100" s="742"/>
      <c r="D100" s="742"/>
      <c r="E100" s="741"/>
      <c r="F100" s="741"/>
      <c r="G100" s="741"/>
      <c r="H100" s="741"/>
      <c r="I100" s="741"/>
      <c r="J100" s="741"/>
    </row>
    <row r="101" spans="2:10" ht="18.75">
      <c r="B101" s="741"/>
      <c r="C101" s="742"/>
      <c r="D101" s="742"/>
      <c r="E101" s="741"/>
      <c r="F101" s="741"/>
      <c r="G101" s="741"/>
      <c r="H101" s="741"/>
      <c r="I101" s="741"/>
      <c r="J101" s="741"/>
    </row>
    <row r="102" spans="2:10" ht="18.75">
      <c r="B102" s="741"/>
      <c r="C102" s="742"/>
      <c r="D102" s="742"/>
      <c r="E102" s="741"/>
      <c r="F102" s="741"/>
      <c r="G102" s="741"/>
      <c r="H102" s="741"/>
      <c r="I102" s="741"/>
      <c r="J102" s="741"/>
    </row>
    <row r="103" spans="2:10" ht="18.75">
      <c r="B103" s="741"/>
      <c r="C103" s="742"/>
      <c r="D103" s="742"/>
      <c r="E103" s="741"/>
      <c r="F103" s="741"/>
      <c r="G103" s="741"/>
      <c r="H103" s="741"/>
      <c r="I103" s="741"/>
      <c r="J103" s="741"/>
    </row>
    <row r="104" spans="2:10" ht="18.75">
      <c r="B104" s="741"/>
      <c r="C104" s="742"/>
      <c r="D104" s="742"/>
      <c r="E104" s="741"/>
      <c r="F104" s="741"/>
      <c r="G104" s="741"/>
      <c r="H104" s="741"/>
      <c r="I104" s="741"/>
      <c r="J104" s="741"/>
    </row>
    <row r="105" spans="2:10" ht="18.75">
      <c r="B105" s="741"/>
      <c r="C105" s="742"/>
      <c r="D105" s="742"/>
      <c r="E105" s="741"/>
      <c r="F105" s="741"/>
      <c r="G105" s="741"/>
      <c r="H105" s="741"/>
      <c r="I105" s="741"/>
      <c r="J105" s="741"/>
    </row>
    <row r="106" spans="2:10" ht="18.75">
      <c r="B106" s="741"/>
      <c r="C106" s="742"/>
      <c r="D106" s="742"/>
      <c r="E106" s="741"/>
      <c r="F106" s="741"/>
      <c r="G106" s="741"/>
      <c r="H106" s="741"/>
      <c r="I106" s="741"/>
      <c r="J106" s="741"/>
    </row>
    <row r="107" spans="2:10" ht="18.75">
      <c r="B107" s="741"/>
      <c r="C107" s="742"/>
      <c r="D107" s="742"/>
      <c r="E107" s="741"/>
      <c r="F107" s="741"/>
      <c r="G107" s="741"/>
      <c r="H107" s="741"/>
      <c r="I107" s="741"/>
      <c r="J107" s="741"/>
    </row>
    <row r="108" spans="2:10" ht="18.75">
      <c r="B108" s="741"/>
      <c r="C108" s="742"/>
      <c r="D108" s="742"/>
      <c r="E108" s="741"/>
      <c r="F108" s="741"/>
      <c r="G108" s="741"/>
      <c r="H108" s="741"/>
      <c r="I108" s="741"/>
      <c r="J108" s="741"/>
    </row>
    <row r="109" spans="2:10" ht="18.75">
      <c r="B109" s="741"/>
      <c r="C109" s="742"/>
      <c r="D109" s="742"/>
      <c r="E109" s="741"/>
      <c r="F109" s="741"/>
      <c r="G109" s="741"/>
      <c r="H109" s="741"/>
      <c r="I109" s="741"/>
      <c r="J109" s="741"/>
    </row>
    <row r="110" spans="2:10" ht="18.75">
      <c r="B110" s="741"/>
      <c r="C110" s="742"/>
      <c r="D110" s="742"/>
      <c r="E110" s="741"/>
      <c r="F110" s="741"/>
      <c r="G110" s="741"/>
      <c r="H110" s="741"/>
      <c r="I110" s="741"/>
      <c r="J110" s="741"/>
    </row>
    <row r="111" spans="2:10" ht="18.75">
      <c r="B111" s="741"/>
      <c r="C111" s="742"/>
      <c r="D111" s="742"/>
      <c r="E111" s="741"/>
      <c r="F111" s="741"/>
      <c r="G111" s="741"/>
      <c r="H111" s="741"/>
      <c r="I111" s="741"/>
      <c r="J111" s="741"/>
    </row>
    <row r="112" spans="2:10" ht="18.75">
      <c r="B112" s="741"/>
      <c r="C112" s="742"/>
      <c r="D112" s="742"/>
      <c r="E112" s="741"/>
      <c r="F112" s="741"/>
      <c r="G112" s="741"/>
      <c r="H112" s="741"/>
      <c r="I112" s="741"/>
      <c r="J112" s="741"/>
    </row>
    <row r="113" spans="2:10" ht="18.75">
      <c r="B113" s="741"/>
      <c r="C113" s="742"/>
      <c r="D113" s="742"/>
      <c r="E113" s="741"/>
      <c r="F113" s="741"/>
      <c r="G113" s="741"/>
      <c r="H113" s="741"/>
      <c r="I113" s="741"/>
      <c r="J113" s="741"/>
    </row>
    <row r="114" spans="2:10" ht="18.75">
      <c r="B114" s="741"/>
      <c r="C114" s="742"/>
      <c r="D114" s="742"/>
      <c r="E114" s="741"/>
      <c r="F114" s="741"/>
      <c r="G114" s="741"/>
      <c r="H114" s="741"/>
      <c r="I114" s="741"/>
      <c r="J114" s="741"/>
    </row>
    <row r="115" spans="2:10" ht="18.75">
      <c r="B115" s="741"/>
      <c r="C115" s="742"/>
      <c r="D115" s="742"/>
      <c r="E115" s="741"/>
      <c r="F115" s="741"/>
      <c r="G115" s="741"/>
      <c r="H115" s="741"/>
      <c r="I115" s="741"/>
      <c r="J115" s="741"/>
    </row>
    <row r="116" spans="2:10" ht="18.75">
      <c r="B116" s="741"/>
      <c r="C116" s="742"/>
      <c r="D116" s="742"/>
      <c r="E116" s="741"/>
      <c r="F116" s="741"/>
      <c r="G116" s="741"/>
      <c r="H116" s="741"/>
      <c r="I116" s="741"/>
      <c r="J116" s="741"/>
    </row>
    <row r="117" spans="2:10" ht="18.75">
      <c r="B117" s="741"/>
      <c r="C117" s="742"/>
      <c r="D117" s="742"/>
      <c r="E117" s="741"/>
      <c r="F117" s="741"/>
      <c r="G117" s="741"/>
      <c r="H117" s="741"/>
      <c r="I117" s="741"/>
      <c r="J117" s="741"/>
    </row>
    <row r="118" spans="2:10" ht="18.75">
      <c r="B118" s="741"/>
      <c r="C118" s="742"/>
      <c r="D118" s="742"/>
      <c r="E118" s="741"/>
      <c r="F118" s="741"/>
      <c r="G118" s="741"/>
      <c r="H118" s="741"/>
      <c r="I118" s="741"/>
      <c r="J118" s="741"/>
    </row>
    <row r="119" spans="2:10" ht="18.75">
      <c r="B119" s="741"/>
      <c r="C119" s="742"/>
      <c r="D119" s="742"/>
      <c r="E119" s="741"/>
      <c r="F119" s="741"/>
      <c r="G119" s="741"/>
      <c r="H119" s="741"/>
      <c r="I119" s="741"/>
      <c r="J119" s="741"/>
    </row>
    <row r="120" spans="2:10" ht="18.75">
      <c r="B120" s="741"/>
      <c r="C120" s="742"/>
      <c r="D120" s="742"/>
      <c r="E120" s="741"/>
      <c r="F120" s="741"/>
      <c r="G120" s="741"/>
      <c r="H120" s="741"/>
      <c r="I120" s="741"/>
      <c r="J120" s="741"/>
    </row>
    <row r="121" spans="2:10" ht="18.75">
      <c r="B121" s="741"/>
      <c r="C121" s="742"/>
      <c r="D121" s="742"/>
      <c r="E121" s="741"/>
      <c r="F121" s="741"/>
      <c r="G121" s="741"/>
      <c r="H121" s="741"/>
      <c r="I121" s="741"/>
      <c r="J121" s="741"/>
    </row>
    <row r="122" spans="2:10" ht="18.75">
      <c r="B122" s="741"/>
      <c r="C122" s="742"/>
      <c r="D122" s="742"/>
      <c r="E122" s="741"/>
      <c r="F122" s="741"/>
      <c r="G122" s="741"/>
      <c r="H122" s="741"/>
      <c r="I122" s="741"/>
      <c r="J122" s="741"/>
    </row>
    <row r="123" spans="2:10" ht="18.75">
      <c r="B123" s="741"/>
      <c r="C123" s="742"/>
      <c r="D123" s="742"/>
      <c r="E123" s="741"/>
      <c r="F123" s="741"/>
      <c r="G123" s="741"/>
      <c r="H123" s="741"/>
      <c r="I123" s="741"/>
      <c r="J123" s="741"/>
    </row>
    <row r="124" spans="2:10" ht="18.75">
      <c r="B124" s="741"/>
      <c r="C124" s="742"/>
      <c r="D124" s="742"/>
      <c r="E124" s="741"/>
      <c r="F124" s="741"/>
      <c r="G124" s="741"/>
      <c r="H124" s="741"/>
      <c r="I124" s="741"/>
      <c r="J124" s="741"/>
    </row>
    <row r="125" spans="2:10" ht="18.75">
      <c r="B125" s="741"/>
      <c r="C125" s="742"/>
      <c r="D125" s="742"/>
      <c r="E125" s="741"/>
      <c r="F125" s="741"/>
      <c r="G125" s="741"/>
      <c r="H125" s="741"/>
      <c r="I125" s="741"/>
      <c r="J125" s="741"/>
    </row>
    <row r="126" spans="2:10" ht="18.75">
      <c r="B126" s="741"/>
      <c r="C126" s="742"/>
      <c r="D126" s="742"/>
      <c r="E126" s="741"/>
      <c r="F126" s="741"/>
      <c r="G126" s="741"/>
      <c r="H126" s="741"/>
      <c r="I126" s="741"/>
      <c r="J126" s="741"/>
    </row>
    <row r="127" spans="2:10" ht="18.75">
      <c r="B127" s="741"/>
      <c r="C127" s="742"/>
      <c r="D127" s="742"/>
      <c r="E127" s="741"/>
      <c r="F127" s="741"/>
      <c r="G127" s="741"/>
      <c r="H127" s="741"/>
      <c r="I127" s="741"/>
      <c r="J127" s="741"/>
    </row>
    <row r="128" spans="2:10" ht="18.75">
      <c r="B128" s="741"/>
      <c r="C128" s="742"/>
      <c r="D128" s="742"/>
      <c r="E128" s="741"/>
      <c r="F128" s="741"/>
      <c r="G128" s="741"/>
      <c r="H128" s="741"/>
      <c r="I128" s="741"/>
      <c r="J128" s="741"/>
    </row>
    <row r="129" spans="2:10" ht="18.75">
      <c r="B129" s="741"/>
      <c r="C129" s="742"/>
      <c r="D129" s="742"/>
      <c r="E129" s="741"/>
      <c r="F129" s="741"/>
      <c r="G129" s="741"/>
      <c r="H129" s="741"/>
      <c r="I129" s="741"/>
      <c r="J129" s="741"/>
    </row>
    <row r="130" spans="2:10" ht="18.75">
      <c r="B130" s="741"/>
      <c r="C130" s="742"/>
      <c r="D130" s="742"/>
      <c r="E130" s="741"/>
      <c r="F130" s="741"/>
      <c r="G130" s="741"/>
      <c r="H130" s="741"/>
      <c r="I130" s="741"/>
      <c r="J130" s="741"/>
    </row>
    <row r="131" spans="2:10" ht="18.75">
      <c r="B131" s="741"/>
      <c r="C131" s="742"/>
      <c r="D131" s="742"/>
      <c r="E131" s="741"/>
      <c r="F131" s="741"/>
      <c r="G131" s="741"/>
      <c r="H131" s="741"/>
      <c r="I131" s="741"/>
      <c r="J131" s="741"/>
    </row>
    <row r="132" spans="2:10" ht="18.75">
      <c r="B132" s="741"/>
      <c r="C132" s="742"/>
      <c r="D132" s="742"/>
      <c r="E132" s="741"/>
      <c r="F132" s="741"/>
      <c r="G132" s="741"/>
      <c r="H132" s="741"/>
      <c r="I132" s="741"/>
      <c r="J132" s="741"/>
    </row>
    <row r="133" spans="2:10" ht="18.75">
      <c r="B133" s="741"/>
      <c r="C133" s="742"/>
      <c r="D133" s="742"/>
      <c r="E133" s="741"/>
      <c r="F133" s="741"/>
      <c r="G133" s="741"/>
      <c r="H133" s="741"/>
      <c r="I133" s="741"/>
      <c r="J133" s="741"/>
    </row>
    <row r="134" spans="2:10" ht="18.75">
      <c r="B134" s="741"/>
      <c r="C134" s="742"/>
      <c r="D134" s="742"/>
      <c r="E134" s="741"/>
      <c r="F134" s="741"/>
      <c r="G134" s="741"/>
      <c r="H134" s="741"/>
      <c r="I134" s="741"/>
      <c r="J134" s="741"/>
    </row>
    <row r="135" spans="2:10" ht="18.75">
      <c r="B135" s="741"/>
      <c r="C135" s="742"/>
      <c r="D135" s="742"/>
      <c r="E135" s="741"/>
      <c r="F135" s="741"/>
      <c r="G135" s="741"/>
      <c r="H135" s="741"/>
      <c r="I135" s="741"/>
      <c r="J135" s="741"/>
    </row>
    <row r="136" spans="2:10" ht="18.75">
      <c r="B136" s="741"/>
      <c r="C136" s="742"/>
      <c r="D136" s="742"/>
      <c r="E136" s="741"/>
      <c r="F136" s="741"/>
      <c r="G136" s="741"/>
      <c r="H136" s="741"/>
      <c r="I136" s="741"/>
      <c r="J136" s="741"/>
    </row>
    <row r="137" spans="2:10" ht="18.75">
      <c r="B137" s="741"/>
      <c r="C137" s="742"/>
      <c r="D137" s="742"/>
      <c r="E137" s="741"/>
      <c r="F137" s="741"/>
      <c r="G137" s="741"/>
      <c r="H137" s="741"/>
      <c r="I137" s="741"/>
      <c r="J137" s="741"/>
    </row>
    <row r="138" spans="2:10" ht="18.75">
      <c r="B138" s="741"/>
      <c r="C138" s="742"/>
      <c r="D138" s="742"/>
      <c r="E138" s="741"/>
      <c r="F138" s="741"/>
      <c r="G138" s="741"/>
      <c r="H138" s="741"/>
      <c r="I138" s="741"/>
      <c r="J138" s="741"/>
    </row>
    <row r="139" spans="2:10" ht="18.75">
      <c r="B139" s="741"/>
      <c r="C139" s="742"/>
      <c r="D139" s="742"/>
      <c r="E139" s="741"/>
      <c r="F139" s="741"/>
      <c r="G139" s="741"/>
      <c r="H139" s="741"/>
      <c r="I139" s="741"/>
      <c r="J139" s="741"/>
    </row>
    <row r="140" spans="2:10" ht="18.75">
      <c r="B140" s="741"/>
      <c r="C140" s="742"/>
      <c r="D140" s="742"/>
      <c r="E140" s="741"/>
      <c r="F140" s="741"/>
      <c r="G140" s="741"/>
      <c r="H140" s="741"/>
      <c r="I140" s="741"/>
      <c r="J140" s="741"/>
    </row>
    <row r="141" spans="2:10" ht="18.75">
      <c r="B141" s="741"/>
      <c r="C141" s="742"/>
      <c r="D141" s="742"/>
      <c r="E141" s="741"/>
      <c r="F141" s="741"/>
      <c r="G141" s="741"/>
      <c r="H141" s="741"/>
      <c r="I141" s="741"/>
      <c r="J141" s="741"/>
    </row>
    <row r="142" spans="2:10" ht="18.75">
      <c r="B142" s="741"/>
      <c r="C142" s="742"/>
      <c r="D142" s="742"/>
      <c r="E142" s="741"/>
      <c r="F142" s="741"/>
      <c r="G142" s="741"/>
      <c r="H142" s="741"/>
      <c r="I142" s="741"/>
      <c r="J142" s="741"/>
    </row>
    <row r="143" spans="2:10" ht="18.75">
      <c r="B143" s="741"/>
      <c r="C143" s="742"/>
      <c r="D143" s="742"/>
      <c r="E143" s="741"/>
      <c r="F143" s="741"/>
      <c r="G143" s="741"/>
      <c r="H143" s="741"/>
      <c r="I143" s="741"/>
      <c r="J143" s="741"/>
    </row>
    <row r="144" spans="2:10" ht="18.75">
      <c r="B144" s="741"/>
      <c r="C144" s="742"/>
      <c r="D144" s="742"/>
      <c r="E144" s="741"/>
      <c r="F144" s="741"/>
      <c r="G144" s="741"/>
      <c r="H144" s="741"/>
      <c r="I144" s="741"/>
      <c r="J144" s="741"/>
    </row>
    <row r="145" spans="2:10" ht="18.75">
      <c r="B145" s="741"/>
      <c r="C145" s="742"/>
      <c r="D145" s="742"/>
      <c r="E145" s="741"/>
      <c r="F145" s="741"/>
      <c r="G145" s="741"/>
      <c r="H145" s="741"/>
      <c r="I145" s="741"/>
      <c r="J145" s="741"/>
    </row>
    <row r="146" spans="2:10" ht="18.75">
      <c r="B146" s="741"/>
      <c r="C146" s="742"/>
      <c r="D146" s="742"/>
      <c r="E146" s="741"/>
      <c r="F146" s="741"/>
      <c r="G146" s="741"/>
      <c r="H146" s="741"/>
      <c r="I146" s="741"/>
      <c r="J146" s="741"/>
    </row>
    <row r="147" spans="2:10" ht="18.75">
      <c r="B147" s="741"/>
      <c r="C147" s="742"/>
      <c r="D147" s="742"/>
      <c r="E147" s="741"/>
      <c r="F147" s="741"/>
      <c r="G147" s="741"/>
      <c r="H147" s="741"/>
      <c r="I147" s="741"/>
      <c r="J147" s="741"/>
    </row>
    <row r="148" spans="2:10" ht="18.75">
      <c r="B148" s="741"/>
      <c r="C148" s="742"/>
      <c r="D148" s="742"/>
      <c r="E148" s="741"/>
      <c r="F148" s="741"/>
      <c r="G148" s="741"/>
      <c r="H148" s="741"/>
      <c r="I148" s="741"/>
      <c r="J148" s="741"/>
    </row>
    <row r="149" spans="2:10" ht="18.75">
      <c r="B149" s="741"/>
      <c r="C149" s="742"/>
      <c r="D149" s="742"/>
      <c r="E149" s="741"/>
      <c r="F149" s="741"/>
      <c r="G149" s="741"/>
      <c r="H149" s="741"/>
      <c r="I149" s="741"/>
      <c r="J149" s="741"/>
    </row>
    <row r="150" spans="2:10" ht="18.75">
      <c r="B150" s="741"/>
      <c r="C150" s="742"/>
      <c r="D150" s="742"/>
      <c r="E150" s="741"/>
      <c r="F150" s="741"/>
      <c r="G150" s="741"/>
      <c r="H150" s="741"/>
      <c r="I150" s="741"/>
      <c r="J150" s="741"/>
    </row>
    <row r="151" spans="2:10" ht="18.75">
      <c r="B151" s="741"/>
      <c r="C151" s="742"/>
      <c r="D151" s="742"/>
      <c r="E151" s="741"/>
      <c r="F151" s="741"/>
      <c r="G151" s="741"/>
      <c r="H151" s="741"/>
      <c r="I151" s="741"/>
      <c r="J151" s="741"/>
    </row>
    <row r="152" spans="2:10" ht="18.75">
      <c r="B152" s="741"/>
      <c r="C152" s="742"/>
      <c r="D152" s="742"/>
      <c r="E152" s="741"/>
      <c r="F152" s="741"/>
      <c r="G152" s="741"/>
      <c r="H152" s="741"/>
      <c r="I152" s="741"/>
      <c r="J152" s="741"/>
    </row>
    <row r="153" spans="2:10" ht="18.75">
      <c r="B153" s="741"/>
      <c r="C153" s="742"/>
      <c r="D153" s="742"/>
      <c r="E153" s="741"/>
      <c r="F153" s="741"/>
      <c r="G153" s="741"/>
      <c r="H153" s="741"/>
      <c r="I153" s="741"/>
      <c r="J153" s="741"/>
    </row>
    <row r="154" spans="2:10" ht="18.75">
      <c r="B154" s="741"/>
      <c r="C154" s="742"/>
      <c r="D154" s="742"/>
      <c r="E154" s="741"/>
      <c r="F154" s="741"/>
      <c r="G154" s="741"/>
      <c r="H154" s="741"/>
      <c r="I154" s="741"/>
      <c r="J154" s="741"/>
    </row>
    <row r="155" spans="2:10" ht="18.75">
      <c r="B155" s="741"/>
      <c r="C155" s="742"/>
      <c r="D155" s="742"/>
      <c r="E155" s="741"/>
      <c r="F155" s="741"/>
      <c r="G155" s="741"/>
      <c r="H155" s="741"/>
      <c r="I155" s="741"/>
      <c r="J155" s="741"/>
    </row>
    <row r="156" spans="2:10" ht="18.75">
      <c r="B156" s="741"/>
      <c r="C156" s="742"/>
      <c r="D156" s="742"/>
      <c r="E156" s="741"/>
      <c r="F156" s="741"/>
      <c r="G156" s="741"/>
      <c r="H156" s="741"/>
      <c r="I156" s="741"/>
      <c r="J156" s="741"/>
    </row>
    <row r="157" spans="2:10" ht="18.75">
      <c r="B157" s="741"/>
      <c r="C157" s="742"/>
      <c r="D157" s="742"/>
      <c r="E157" s="741"/>
      <c r="F157" s="741"/>
      <c r="G157" s="741"/>
      <c r="H157" s="741"/>
      <c r="I157" s="741"/>
      <c r="J157" s="741"/>
    </row>
    <row r="158" spans="2:10" ht="18.75">
      <c r="B158" s="741"/>
      <c r="C158" s="742"/>
      <c r="D158" s="742"/>
      <c r="E158" s="741"/>
      <c r="F158" s="741"/>
      <c r="G158" s="741"/>
      <c r="H158" s="741"/>
      <c r="I158" s="741"/>
      <c r="J158" s="741"/>
    </row>
    <row r="159" spans="2:10" ht="18.75">
      <c r="B159" s="741"/>
      <c r="C159" s="742"/>
      <c r="D159" s="742"/>
      <c r="E159" s="741"/>
      <c r="F159" s="741"/>
      <c r="G159" s="741"/>
      <c r="H159" s="741"/>
      <c r="I159" s="741"/>
      <c r="J159" s="741"/>
    </row>
    <row r="160" spans="2:10" ht="18.75">
      <c r="B160" s="741"/>
      <c r="C160" s="742"/>
      <c r="D160" s="742"/>
      <c r="E160" s="741"/>
      <c r="F160" s="741"/>
      <c r="G160" s="741"/>
      <c r="H160" s="741"/>
      <c r="I160" s="741"/>
      <c r="J160" s="741"/>
    </row>
    <row r="161" spans="2:10" ht="18.75">
      <c r="B161" s="741"/>
      <c r="C161" s="742"/>
      <c r="D161" s="742"/>
      <c r="E161" s="741"/>
      <c r="F161" s="741"/>
      <c r="G161" s="741"/>
      <c r="H161" s="741"/>
      <c r="I161" s="741"/>
      <c r="J161" s="741"/>
    </row>
    <row r="162" spans="2:10" ht="18.75">
      <c r="B162" s="741"/>
      <c r="C162" s="742"/>
      <c r="D162" s="742"/>
      <c r="E162" s="741"/>
      <c r="F162" s="741"/>
      <c r="G162" s="741"/>
      <c r="H162" s="741"/>
      <c r="I162" s="741"/>
      <c r="J162" s="741"/>
    </row>
    <row r="163" spans="2:10" ht="18.75">
      <c r="B163" s="741"/>
      <c r="C163" s="742"/>
      <c r="D163" s="742"/>
      <c r="E163" s="741"/>
      <c r="F163" s="741"/>
      <c r="G163" s="741"/>
      <c r="H163" s="741"/>
      <c r="I163" s="741"/>
      <c r="J163" s="741"/>
    </row>
    <row r="164" spans="2:10" ht="18.75">
      <c r="B164" s="741"/>
      <c r="C164" s="742"/>
      <c r="D164" s="742"/>
      <c r="E164" s="741"/>
      <c r="F164" s="741"/>
      <c r="G164" s="741"/>
      <c r="H164" s="741"/>
      <c r="I164" s="741"/>
      <c r="J164" s="741"/>
    </row>
    <row r="165" spans="2:10" ht="18.75">
      <c r="B165" s="741"/>
      <c r="C165" s="742"/>
      <c r="D165" s="742"/>
      <c r="E165" s="741"/>
      <c r="F165" s="741"/>
      <c r="G165" s="741"/>
      <c r="H165" s="741"/>
      <c r="I165" s="741"/>
      <c r="J165" s="741"/>
    </row>
    <row r="166" spans="2:10" ht="18.75">
      <c r="B166" s="741"/>
      <c r="C166" s="742"/>
      <c r="D166" s="742"/>
      <c r="E166" s="741"/>
      <c r="F166" s="741"/>
      <c r="G166" s="741"/>
      <c r="H166" s="741"/>
      <c r="I166" s="741"/>
      <c r="J166" s="741"/>
    </row>
    <row r="167" spans="2:10" ht="18.75">
      <c r="B167" s="741"/>
      <c r="C167" s="742"/>
      <c r="D167" s="742"/>
      <c r="E167" s="741"/>
      <c r="F167" s="741"/>
      <c r="G167" s="741"/>
      <c r="H167" s="741"/>
      <c r="I167" s="741"/>
      <c r="J167" s="741"/>
    </row>
    <row r="168" spans="2:10" ht="18.75">
      <c r="B168" s="741"/>
      <c r="C168" s="742"/>
      <c r="D168" s="742"/>
      <c r="E168" s="741"/>
      <c r="F168" s="741"/>
      <c r="G168" s="741"/>
      <c r="H168" s="741"/>
      <c r="I168" s="741"/>
      <c r="J168" s="741"/>
    </row>
    <row r="169" spans="2:10" ht="18.75">
      <c r="B169" s="741"/>
      <c r="C169" s="742"/>
      <c r="D169" s="742"/>
      <c r="E169" s="741"/>
      <c r="F169" s="741"/>
      <c r="G169" s="741"/>
      <c r="H169" s="741"/>
      <c r="I169" s="741"/>
      <c r="J169" s="741"/>
    </row>
    <row r="170" spans="2:10" ht="18.75">
      <c r="B170" s="741"/>
      <c r="C170" s="742"/>
      <c r="D170" s="742"/>
      <c r="E170" s="741"/>
      <c r="F170" s="741"/>
      <c r="G170" s="741"/>
      <c r="H170" s="741"/>
      <c r="I170" s="741"/>
      <c r="J170" s="741"/>
    </row>
    <row r="171" spans="2:10" ht="18.75">
      <c r="B171" s="741"/>
      <c r="C171" s="742"/>
      <c r="D171" s="742"/>
      <c r="E171" s="741"/>
      <c r="F171" s="741"/>
      <c r="G171" s="741"/>
      <c r="H171" s="741"/>
      <c r="I171" s="741"/>
      <c r="J171" s="741"/>
    </row>
    <row r="172" spans="2:10" ht="18.75">
      <c r="B172" s="741"/>
      <c r="C172" s="742"/>
      <c r="D172" s="742"/>
      <c r="E172" s="741"/>
      <c r="F172" s="741"/>
      <c r="G172" s="741"/>
      <c r="H172" s="741"/>
      <c r="I172" s="741"/>
      <c r="J172" s="741"/>
    </row>
    <row r="173" spans="2:10" ht="18.75">
      <c r="B173" s="741"/>
      <c r="C173" s="742"/>
      <c r="D173" s="742"/>
      <c r="E173" s="741"/>
      <c r="F173" s="741"/>
      <c r="G173" s="741"/>
      <c r="H173" s="741"/>
      <c r="I173" s="741"/>
      <c r="J173" s="741"/>
    </row>
    <row r="174" spans="2:10" ht="18.75">
      <c r="B174" s="741"/>
      <c r="C174" s="742"/>
      <c r="D174" s="742"/>
      <c r="E174" s="741"/>
      <c r="F174" s="741"/>
      <c r="G174" s="741"/>
      <c r="H174" s="741"/>
      <c r="I174" s="741"/>
      <c r="J174" s="741"/>
    </row>
    <row r="175" spans="2:10" ht="18.75">
      <c r="B175" s="741"/>
      <c r="C175" s="742"/>
      <c r="D175" s="742"/>
      <c r="E175" s="741"/>
      <c r="F175" s="741"/>
      <c r="G175" s="741"/>
      <c r="H175" s="741"/>
      <c r="I175" s="741"/>
      <c r="J175" s="741"/>
    </row>
    <row r="176" spans="2:10" ht="18.75">
      <c r="B176" s="741"/>
      <c r="C176" s="742"/>
      <c r="D176" s="742"/>
      <c r="E176" s="741"/>
      <c r="F176" s="741"/>
      <c r="G176" s="741"/>
      <c r="H176" s="741"/>
      <c r="I176" s="741"/>
      <c r="J176" s="741"/>
    </row>
    <row r="177" spans="2:10" ht="18.75">
      <c r="B177" s="741"/>
      <c r="C177" s="742"/>
      <c r="D177" s="742"/>
      <c r="E177" s="741"/>
      <c r="F177" s="741"/>
      <c r="G177" s="741"/>
      <c r="H177" s="741"/>
      <c r="I177" s="741"/>
      <c r="J177" s="741"/>
    </row>
    <row r="178" spans="2:10" ht="18.75">
      <c r="B178" s="741"/>
      <c r="C178" s="742"/>
      <c r="D178" s="742"/>
      <c r="E178" s="741"/>
      <c r="F178" s="741"/>
      <c r="G178" s="741"/>
      <c r="H178" s="741"/>
      <c r="I178" s="741"/>
      <c r="J178" s="741"/>
    </row>
    <row r="179" spans="2:10" ht="18.75">
      <c r="B179" s="741"/>
      <c r="C179" s="742"/>
      <c r="D179" s="742"/>
      <c r="E179" s="741"/>
      <c r="F179" s="741"/>
      <c r="G179" s="741"/>
      <c r="H179" s="741"/>
      <c r="I179" s="741"/>
      <c r="J179" s="741"/>
    </row>
    <row r="180" spans="2:10" ht="18.75">
      <c r="B180" s="741"/>
      <c r="C180" s="742"/>
      <c r="D180" s="742"/>
      <c r="E180" s="741"/>
      <c r="F180" s="741"/>
      <c r="G180" s="741"/>
      <c r="H180" s="741"/>
      <c r="I180" s="741"/>
      <c r="J180" s="741"/>
    </row>
    <row r="181" spans="2:10" ht="18.75">
      <c r="B181" s="741"/>
      <c r="C181" s="742"/>
      <c r="D181" s="742"/>
      <c r="E181" s="741"/>
      <c r="F181" s="741"/>
      <c r="G181" s="741"/>
      <c r="H181" s="741"/>
      <c r="I181" s="741"/>
      <c r="J181" s="741"/>
    </row>
    <row r="182" spans="2:10" ht="18.75">
      <c r="B182" s="741"/>
      <c r="C182" s="742"/>
      <c r="D182" s="742"/>
      <c r="E182" s="741"/>
      <c r="F182" s="741"/>
      <c r="G182" s="741"/>
      <c r="H182" s="741"/>
      <c r="I182" s="741"/>
      <c r="J182" s="741"/>
    </row>
    <row r="183" spans="2:10" ht="18.75">
      <c r="B183" s="741"/>
      <c r="C183" s="742"/>
      <c r="D183" s="742"/>
      <c r="E183" s="741"/>
      <c r="F183" s="741"/>
      <c r="G183" s="741"/>
      <c r="H183" s="741"/>
      <c r="I183" s="741"/>
      <c r="J183" s="741"/>
    </row>
    <row r="184" spans="2:10" ht="18.75">
      <c r="B184" s="741"/>
      <c r="C184" s="742"/>
      <c r="D184" s="742"/>
      <c r="E184" s="741"/>
      <c r="F184" s="741"/>
      <c r="G184" s="741"/>
      <c r="H184" s="741"/>
      <c r="I184" s="741"/>
      <c r="J184" s="741"/>
    </row>
    <row r="185" spans="2:10" ht="18.75">
      <c r="B185" s="741"/>
      <c r="C185" s="742"/>
      <c r="D185" s="742"/>
      <c r="E185" s="741"/>
      <c r="F185" s="741"/>
      <c r="G185" s="741"/>
      <c r="H185" s="741"/>
      <c r="I185" s="741"/>
      <c r="J185" s="741"/>
    </row>
    <row r="186" spans="2:10" ht="18.75">
      <c r="B186" s="741"/>
      <c r="C186" s="742"/>
      <c r="D186" s="742"/>
      <c r="E186" s="741"/>
      <c r="F186" s="741"/>
      <c r="G186" s="741"/>
      <c r="H186" s="741"/>
      <c r="I186" s="741"/>
      <c r="J186" s="741"/>
    </row>
    <row r="187" spans="2:10" ht="18.75">
      <c r="B187" s="741"/>
      <c r="C187" s="742"/>
      <c r="D187" s="742"/>
      <c r="E187" s="741"/>
      <c r="F187" s="741"/>
      <c r="G187" s="741"/>
      <c r="H187" s="741"/>
      <c r="I187" s="741"/>
      <c r="J187" s="741"/>
    </row>
    <row r="188" spans="2:10" ht="18.75">
      <c r="B188" s="741"/>
      <c r="C188" s="742"/>
      <c r="D188" s="742"/>
      <c r="E188" s="741"/>
      <c r="F188" s="741"/>
      <c r="G188" s="741"/>
      <c r="H188" s="741"/>
      <c r="I188" s="741"/>
      <c r="J188" s="741"/>
    </row>
    <row r="189" spans="2:10" ht="18.75">
      <c r="B189" s="741"/>
      <c r="C189" s="742"/>
      <c r="D189" s="742"/>
      <c r="E189" s="741"/>
      <c r="F189" s="741"/>
      <c r="G189" s="741"/>
      <c r="H189" s="741"/>
      <c r="I189" s="741"/>
      <c r="J189" s="741"/>
    </row>
    <row r="190" spans="2:10" ht="18.75">
      <c r="B190" s="741"/>
      <c r="C190" s="742"/>
      <c r="D190" s="742"/>
      <c r="E190" s="741"/>
      <c r="F190" s="741"/>
      <c r="G190" s="741"/>
      <c r="H190" s="741"/>
      <c r="I190" s="741"/>
      <c r="J190" s="741"/>
    </row>
    <row r="191" spans="2:10" ht="18.75">
      <c r="B191" s="741"/>
      <c r="C191" s="742"/>
      <c r="D191" s="742"/>
      <c r="E191" s="741"/>
      <c r="F191" s="741"/>
      <c r="G191" s="741"/>
      <c r="H191" s="741"/>
      <c r="I191" s="741"/>
      <c r="J191" s="741"/>
    </row>
    <row r="192" spans="2:10" ht="18.75">
      <c r="B192" s="741"/>
      <c r="C192" s="742"/>
      <c r="D192" s="742"/>
      <c r="E192" s="741"/>
      <c r="F192" s="741"/>
      <c r="G192" s="741"/>
      <c r="H192" s="741"/>
      <c r="I192" s="741"/>
      <c r="J192" s="741"/>
    </row>
    <row r="193" spans="2:10" ht="18.75">
      <c r="B193" s="741"/>
      <c r="C193" s="742"/>
      <c r="D193" s="742"/>
      <c r="E193" s="741"/>
      <c r="F193" s="741"/>
      <c r="G193" s="741"/>
      <c r="H193" s="741"/>
      <c r="I193" s="741"/>
      <c r="J193" s="741"/>
    </row>
    <row r="194" spans="2:10" ht="18.75">
      <c r="B194" s="741"/>
      <c r="C194" s="742"/>
      <c r="D194" s="742"/>
      <c r="E194" s="741"/>
      <c r="F194" s="741"/>
      <c r="G194" s="741"/>
      <c r="H194" s="741"/>
      <c r="I194" s="741"/>
      <c r="J194" s="741"/>
    </row>
    <row r="195" spans="2:10" ht="18.75">
      <c r="B195" s="741"/>
      <c r="C195" s="742"/>
      <c r="D195" s="742"/>
      <c r="E195" s="741"/>
      <c r="F195" s="741"/>
      <c r="G195" s="741"/>
      <c r="H195" s="741"/>
      <c r="I195" s="741"/>
      <c r="J195" s="741"/>
    </row>
    <row r="196" spans="2:10" ht="18.75">
      <c r="B196" s="741"/>
      <c r="C196" s="742"/>
      <c r="D196" s="742"/>
      <c r="E196" s="741"/>
      <c r="F196" s="741"/>
      <c r="G196" s="741"/>
      <c r="H196" s="741"/>
      <c r="I196" s="741"/>
      <c r="J196" s="741"/>
    </row>
    <row r="197" spans="2:10" ht="18.75">
      <c r="B197" s="741"/>
      <c r="C197" s="742"/>
      <c r="D197" s="742"/>
      <c r="E197" s="741"/>
      <c r="F197" s="741"/>
      <c r="G197" s="741"/>
      <c r="H197" s="741"/>
      <c r="I197" s="741"/>
      <c r="J197" s="741"/>
    </row>
    <row r="198" spans="2:10" ht="18.75">
      <c r="B198" s="741"/>
      <c r="C198" s="742"/>
      <c r="D198" s="742"/>
      <c r="E198" s="741"/>
      <c r="F198" s="741"/>
      <c r="G198" s="741"/>
      <c r="H198" s="741"/>
      <c r="I198" s="741"/>
      <c r="J198" s="741"/>
    </row>
    <row r="199" spans="2:10" ht="18.75">
      <c r="B199" s="741"/>
      <c r="C199" s="742"/>
      <c r="D199" s="742"/>
      <c r="E199" s="741"/>
      <c r="F199" s="741"/>
      <c r="G199" s="741"/>
      <c r="H199" s="741"/>
      <c r="I199" s="741"/>
      <c r="J199" s="741"/>
    </row>
    <row r="200" spans="2:10" ht="18.75">
      <c r="B200" s="741"/>
      <c r="C200" s="742"/>
      <c r="D200" s="742"/>
      <c r="E200" s="741"/>
      <c r="F200" s="741"/>
      <c r="G200" s="741"/>
      <c r="H200" s="741"/>
      <c r="I200" s="741"/>
      <c r="J200" s="741"/>
    </row>
    <row r="201" spans="2:10" ht="18.75">
      <c r="B201" s="741"/>
      <c r="C201" s="742"/>
      <c r="D201" s="742"/>
      <c r="E201" s="741"/>
      <c r="F201" s="741"/>
      <c r="G201" s="741"/>
      <c r="H201" s="741"/>
      <c r="I201" s="741"/>
      <c r="J201" s="741"/>
    </row>
    <row r="202" spans="2:10" ht="18.75">
      <c r="B202" s="741"/>
      <c r="C202" s="742"/>
      <c r="D202" s="742"/>
      <c r="E202" s="741"/>
      <c r="F202" s="741"/>
      <c r="G202" s="741"/>
      <c r="H202" s="741"/>
      <c r="I202" s="741"/>
      <c r="J202" s="741"/>
    </row>
    <row r="203" spans="2:10" ht="18.75">
      <c r="B203" s="741"/>
      <c r="C203" s="742"/>
      <c r="D203" s="742"/>
      <c r="E203" s="741"/>
      <c r="F203" s="741"/>
      <c r="G203" s="741"/>
      <c r="H203" s="741"/>
      <c r="I203" s="741"/>
      <c r="J203" s="741"/>
    </row>
    <row r="204" spans="2:10" ht="18.75">
      <c r="B204" s="741"/>
      <c r="C204" s="742"/>
      <c r="D204" s="742"/>
      <c r="E204" s="741"/>
      <c r="F204" s="741"/>
      <c r="G204" s="741"/>
      <c r="H204" s="741"/>
      <c r="I204" s="741"/>
      <c r="J204" s="741"/>
    </row>
    <row r="205" spans="2:10" ht="18.75">
      <c r="B205" s="741"/>
      <c r="C205" s="742"/>
      <c r="D205" s="742"/>
      <c r="E205" s="741"/>
      <c r="F205" s="741"/>
      <c r="G205" s="741"/>
      <c r="H205" s="741"/>
      <c r="I205" s="741"/>
      <c r="J205" s="741"/>
    </row>
    <row r="206" spans="2:10" ht="18.75">
      <c r="B206" s="741"/>
      <c r="C206" s="742"/>
      <c r="D206" s="742"/>
      <c r="E206" s="741"/>
      <c r="F206" s="741"/>
      <c r="G206" s="741"/>
      <c r="H206" s="741"/>
      <c r="I206" s="741"/>
      <c r="J206" s="741"/>
    </row>
    <row r="207" spans="2:10" ht="18.75">
      <c r="B207" s="741"/>
      <c r="C207" s="742"/>
      <c r="D207" s="742"/>
      <c r="E207" s="741"/>
      <c r="F207" s="741"/>
      <c r="G207" s="741"/>
      <c r="H207" s="741"/>
      <c r="I207" s="741"/>
      <c r="J207" s="741"/>
    </row>
    <row r="208" spans="2:10" ht="18.75">
      <c r="B208" s="741"/>
      <c r="C208" s="742"/>
      <c r="D208" s="742"/>
      <c r="E208" s="741"/>
      <c r="F208" s="741"/>
      <c r="G208" s="741"/>
      <c r="H208" s="741"/>
      <c r="I208" s="741"/>
      <c r="J208" s="741"/>
    </row>
    <row r="209" spans="2:10" ht="18.75">
      <c r="B209" s="741"/>
      <c r="C209" s="742"/>
      <c r="D209" s="742"/>
      <c r="E209" s="741"/>
      <c r="F209" s="741"/>
      <c r="G209" s="741"/>
      <c r="H209" s="741"/>
      <c r="I209" s="741"/>
      <c r="J209" s="741"/>
    </row>
    <row r="210" spans="2:10" ht="18.75">
      <c r="B210" s="741"/>
      <c r="C210" s="742"/>
      <c r="D210" s="742"/>
      <c r="E210" s="741"/>
      <c r="F210" s="741"/>
      <c r="G210" s="741"/>
      <c r="H210" s="741"/>
      <c r="I210" s="741"/>
      <c r="J210" s="741"/>
    </row>
    <row r="211" spans="2:10" ht="18.75">
      <c r="B211" s="741"/>
      <c r="C211" s="742"/>
      <c r="D211" s="742"/>
      <c r="E211" s="741"/>
      <c r="F211" s="741"/>
      <c r="G211" s="741"/>
      <c r="H211" s="741"/>
      <c r="I211" s="741"/>
      <c r="J211" s="741"/>
    </row>
    <row r="212" spans="2:10" ht="18.75">
      <c r="B212" s="741"/>
      <c r="C212" s="742"/>
      <c r="D212" s="742"/>
      <c r="E212" s="741"/>
      <c r="F212" s="741"/>
      <c r="G212" s="741"/>
      <c r="H212" s="741"/>
      <c r="I212" s="741"/>
      <c r="J212" s="741"/>
    </row>
    <row r="213" spans="2:10" ht="18.75">
      <c r="B213" s="741"/>
      <c r="C213" s="742"/>
      <c r="D213" s="742"/>
      <c r="E213" s="741"/>
      <c r="F213" s="741"/>
      <c r="G213" s="741"/>
      <c r="H213" s="741"/>
      <c r="I213" s="741"/>
      <c r="J213" s="741"/>
    </row>
    <row r="214" spans="2:10" ht="18.75">
      <c r="B214" s="741"/>
      <c r="C214" s="742"/>
      <c r="D214" s="742"/>
      <c r="E214" s="741"/>
      <c r="F214" s="741"/>
      <c r="G214" s="741"/>
      <c r="H214" s="741"/>
      <c r="I214" s="741"/>
      <c r="J214" s="741"/>
    </row>
    <row r="215" spans="2:10" ht="18.75">
      <c r="B215" s="741"/>
      <c r="C215" s="742"/>
      <c r="D215" s="742"/>
      <c r="E215" s="741"/>
      <c r="F215" s="741"/>
      <c r="G215" s="741"/>
      <c r="H215" s="741"/>
      <c r="I215" s="741"/>
      <c r="J215" s="741"/>
    </row>
    <row r="216" spans="2:10" ht="18.75">
      <c r="B216" s="741"/>
      <c r="C216" s="742"/>
      <c r="D216" s="742"/>
      <c r="E216" s="741"/>
      <c r="F216" s="741"/>
      <c r="G216" s="741"/>
      <c r="H216" s="741"/>
      <c r="I216" s="741"/>
      <c r="J216" s="741"/>
    </row>
    <row r="217" spans="2:10" ht="18.75">
      <c r="B217" s="741"/>
      <c r="C217" s="742"/>
      <c r="D217" s="742"/>
      <c r="E217" s="741"/>
      <c r="F217" s="741"/>
      <c r="G217" s="741"/>
      <c r="H217" s="741"/>
      <c r="I217" s="741"/>
      <c r="J217" s="741"/>
    </row>
    <row r="218" spans="2:10" ht="18.75">
      <c r="B218" s="741"/>
      <c r="C218" s="742"/>
      <c r="D218" s="742"/>
      <c r="E218" s="741"/>
      <c r="F218" s="741"/>
      <c r="G218" s="741"/>
      <c r="H218" s="741"/>
      <c r="I218" s="741"/>
      <c r="J218" s="741"/>
    </row>
    <row r="219" spans="2:10" ht="18.75">
      <c r="B219" s="741"/>
      <c r="C219" s="742"/>
      <c r="D219" s="742"/>
      <c r="E219" s="741"/>
      <c r="F219" s="741"/>
      <c r="G219" s="741"/>
      <c r="H219" s="741"/>
      <c r="I219" s="741"/>
      <c r="J219" s="741"/>
    </row>
    <row r="220" spans="2:10" ht="18.75">
      <c r="B220" s="741"/>
      <c r="C220" s="742"/>
      <c r="D220" s="742"/>
      <c r="E220" s="741"/>
      <c r="F220" s="741"/>
      <c r="G220" s="741"/>
      <c r="H220" s="741"/>
      <c r="I220" s="741"/>
      <c r="J220" s="741"/>
    </row>
    <row r="221" spans="2:10" ht="18.75">
      <c r="B221" s="741"/>
      <c r="C221" s="742"/>
      <c r="D221" s="742"/>
      <c r="E221" s="741"/>
      <c r="F221" s="741"/>
      <c r="G221" s="741"/>
      <c r="H221" s="741"/>
      <c r="I221" s="741"/>
      <c r="J221" s="741"/>
    </row>
    <row r="222" spans="2:10" ht="18.75">
      <c r="B222" s="741"/>
      <c r="C222" s="742"/>
      <c r="D222" s="742"/>
      <c r="E222" s="741"/>
      <c r="F222" s="741"/>
      <c r="G222" s="741"/>
      <c r="H222" s="741"/>
      <c r="I222" s="741"/>
      <c r="J222" s="741"/>
    </row>
    <row r="223" spans="2:10" ht="18.75">
      <c r="B223" s="741"/>
      <c r="C223" s="742"/>
      <c r="D223" s="742"/>
      <c r="E223" s="741"/>
      <c r="F223" s="741"/>
      <c r="G223" s="741"/>
      <c r="H223" s="741"/>
      <c r="I223" s="741"/>
      <c r="J223" s="741"/>
    </row>
    <row r="224" spans="2:10" ht="18.75">
      <c r="B224" s="741"/>
      <c r="C224" s="742"/>
      <c r="D224" s="742"/>
      <c r="E224" s="741"/>
      <c r="F224" s="741"/>
      <c r="G224" s="741"/>
      <c r="H224" s="741"/>
      <c r="I224" s="741"/>
      <c r="J224" s="741"/>
    </row>
    <row r="225" spans="2:10" ht="18.75">
      <c r="B225" s="741"/>
      <c r="C225" s="742"/>
      <c r="D225" s="742"/>
      <c r="E225" s="741"/>
      <c r="F225" s="741"/>
      <c r="G225" s="741"/>
      <c r="H225" s="741"/>
      <c r="I225" s="741"/>
      <c r="J225" s="741"/>
    </row>
    <row r="226" spans="2:10" ht="18.75">
      <c r="B226" s="741"/>
      <c r="C226" s="742"/>
      <c r="D226" s="742"/>
      <c r="E226" s="741"/>
      <c r="F226" s="741"/>
      <c r="G226" s="741"/>
      <c r="H226" s="741"/>
      <c r="I226" s="741"/>
      <c r="J226" s="741"/>
    </row>
    <row r="227" spans="2:10" ht="18.75">
      <c r="B227" s="741"/>
      <c r="C227" s="742"/>
      <c r="D227" s="742"/>
      <c r="E227" s="741"/>
      <c r="F227" s="741"/>
      <c r="G227" s="741"/>
      <c r="H227" s="741"/>
      <c r="I227" s="741"/>
      <c r="J227" s="741"/>
    </row>
    <row r="228" spans="2:10" ht="18.75">
      <c r="B228" s="741"/>
      <c r="C228" s="742"/>
      <c r="D228" s="742"/>
      <c r="E228" s="741"/>
      <c r="F228" s="741"/>
      <c r="G228" s="741"/>
      <c r="H228" s="741"/>
      <c r="I228" s="741"/>
      <c r="J228" s="741"/>
    </row>
    <row r="229" spans="2:10" ht="18.75">
      <c r="B229" s="741"/>
      <c r="C229" s="742"/>
      <c r="D229" s="742"/>
      <c r="E229" s="741"/>
      <c r="F229" s="741"/>
      <c r="G229" s="741"/>
      <c r="H229" s="741"/>
      <c r="I229" s="741"/>
      <c r="J229" s="741"/>
    </row>
    <row r="230" spans="2:10" ht="18.75">
      <c r="B230" s="741"/>
      <c r="C230" s="742"/>
      <c r="D230" s="742"/>
      <c r="E230" s="741"/>
      <c r="F230" s="741"/>
      <c r="G230" s="741"/>
      <c r="H230" s="741"/>
      <c r="I230" s="741"/>
      <c r="J230" s="741"/>
    </row>
    <row r="231" spans="2:10" ht="18.75">
      <c r="B231" s="741"/>
      <c r="C231" s="742"/>
      <c r="D231" s="742"/>
      <c r="E231" s="741"/>
      <c r="F231" s="741"/>
      <c r="G231" s="741"/>
      <c r="H231" s="741"/>
      <c r="I231" s="741"/>
      <c r="J231" s="741"/>
    </row>
    <row r="232" spans="2:10" ht="18.75">
      <c r="B232" s="741"/>
      <c r="C232" s="742"/>
      <c r="D232" s="742"/>
      <c r="E232" s="741"/>
      <c r="F232" s="741"/>
      <c r="G232" s="741"/>
      <c r="H232" s="741"/>
      <c r="I232" s="741"/>
      <c r="J232" s="741"/>
    </row>
    <row r="233" spans="2:10" ht="18.75">
      <c r="B233" s="741"/>
      <c r="C233" s="742"/>
      <c r="D233" s="742"/>
      <c r="E233" s="741"/>
      <c r="F233" s="741"/>
      <c r="G233" s="741"/>
      <c r="H233" s="741"/>
      <c r="I233" s="741"/>
      <c r="J233" s="741"/>
    </row>
    <row r="234" spans="2:10" ht="18.75">
      <c r="B234" s="741"/>
      <c r="C234" s="742"/>
      <c r="D234" s="742"/>
      <c r="E234" s="741"/>
      <c r="F234" s="741"/>
      <c r="G234" s="741"/>
      <c r="H234" s="741"/>
      <c r="I234" s="741"/>
      <c r="J234" s="741"/>
    </row>
    <row r="235" spans="2:10" ht="18.75">
      <c r="B235" s="741"/>
      <c r="C235" s="742"/>
      <c r="D235" s="742"/>
      <c r="E235" s="741"/>
      <c r="F235" s="741"/>
      <c r="G235" s="741"/>
      <c r="H235" s="741"/>
      <c r="I235" s="741"/>
      <c r="J235" s="741"/>
    </row>
    <row r="236" spans="2:10" ht="18.75">
      <c r="B236" s="741"/>
      <c r="C236" s="742"/>
      <c r="D236" s="742"/>
      <c r="E236" s="741"/>
      <c r="F236" s="741"/>
      <c r="G236" s="741"/>
      <c r="H236" s="741"/>
      <c r="I236" s="741"/>
      <c r="J236" s="741"/>
    </row>
    <row r="237" spans="2:10" ht="18.75">
      <c r="B237" s="741"/>
      <c r="C237" s="742"/>
      <c r="D237" s="742"/>
      <c r="E237" s="741"/>
      <c r="F237" s="741"/>
      <c r="G237" s="741"/>
      <c r="H237" s="741"/>
      <c r="I237" s="741"/>
      <c r="J237" s="741"/>
    </row>
    <row r="238" spans="2:10" ht="18.75">
      <c r="B238" s="741"/>
      <c r="C238" s="742"/>
      <c r="D238" s="742"/>
      <c r="E238" s="741"/>
      <c r="F238" s="741"/>
      <c r="G238" s="741"/>
      <c r="H238" s="741"/>
      <c r="I238" s="741"/>
      <c r="J238" s="741"/>
    </row>
    <row r="239" spans="2:10" ht="18.75">
      <c r="B239" s="741"/>
      <c r="C239" s="742"/>
      <c r="D239" s="742"/>
      <c r="E239" s="741"/>
      <c r="F239" s="741"/>
      <c r="G239" s="741"/>
      <c r="H239" s="741"/>
      <c r="I239" s="741"/>
      <c r="J239" s="741"/>
    </row>
    <row r="240" spans="2:10" ht="18.75">
      <c r="B240" s="741"/>
      <c r="C240" s="742"/>
      <c r="D240" s="742"/>
      <c r="E240" s="741"/>
      <c r="F240" s="741"/>
      <c r="G240" s="741"/>
      <c r="H240" s="741"/>
      <c r="I240" s="741"/>
      <c r="J240" s="741"/>
    </row>
    <row r="241" spans="2:10" ht="18.75">
      <c r="B241" s="741"/>
      <c r="C241" s="742"/>
      <c r="D241" s="742"/>
      <c r="E241" s="741"/>
      <c r="F241" s="741"/>
      <c r="G241" s="741"/>
      <c r="H241" s="741"/>
      <c r="I241" s="741"/>
      <c r="J241" s="741"/>
    </row>
    <row r="242" spans="2:10" ht="18.75">
      <c r="B242" s="741"/>
      <c r="C242" s="742"/>
      <c r="D242" s="742"/>
      <c r="E242" s="741"/>
      <c r="F242" s="741"/>
      <c r="G242" s="741"/>
      <c r="H242" s="741"/>
      <c r="I242" s="741"/>
      <c r="J242" s="741"/>
    </row>
    <row r="243" spans="2:10" ht="18.75">
      <c r="B243" s="741"/>
      <c r="C243" s="742"/>
      <c r="D243" s="742"/>
      <c r="E243" s="741"/>
      <c r="F243" s="741"/>
      <c r="G243" s="741"/>
      <c r="H243" s="741"/>
      <c r="I243" s="741"/>
      <c r="J243" s="741"/>
    </row>
    <row r="244" spans="2:10" ht="18.75">
      <c r="B244" s="741"/>
      <c r="C244" s="742"/>
      <c r="D244" s="742"/>
      <c r="E244" s="741"/>
      <c r="F244" s="741"/>
      <c r="G244" s="741"/>
      <c r="H244" s="741"/>
      <c r="I244" s="741"/>
      <c r="J244" s="741"/>
    </row>
    <row r="245" spans="2:10" ht="18.75">
      <c r="B245" s="741"/>
      <c r="C245" s="742"/>
      <c r="D245" s="742"/>
      <c r="E245" s="741"/>
      <c r="F245" s="741"/>
      <c r="G245" s="741"/>
      <c r="H245" s="741"/>
      <c r="I245" s="741"/>
      <c r="J245" s="741"/>
    </row>
    <row r="246" spans="2:10" ht="18.75">
      <c r="B246" s="741"/>
      <c r="C246" s="742"/>
      <c r="D246" s="742"/>
      <c r="E246" s="741"/>
      <c r="F246" s="741"/>
      <c r="G246" s="741"/>
      <c r="H246" s="741"/>
      <c r="I246" s="741"/>
      <c r="J246" s="741"/>
    </row>
    <row r="247" spans="2:10" ht="18.75">
      <c r="B247" s="741"/>
      <c r="C247" s="742"/>
      <c r="D247" s="742"/>
      <c r="E247" s="741"/>
      <c r="F247" s="741"/>
      <c r="G247" s="741"/>
      <c r="H247" s="741"/>
      <c r="I247" s="741"/>
      <c r="J247" s="741"/>
    </row>
  </sheetData>
  <sheetProtection/>
  <mergeCells count="4">
    <mergeCell ref="A31:J31"/>
    <mergeCell ref="I1:J1"/>
    <mergeCell ref="B2:J2"/>
    <mergeCell ref="B3:J3"/>
  </mergeCells>
  <printOptions horizontalCentered="1"/>
  <pageMargins left="0.7" right="0.46" top="0.748031496062992" bottom="0.78740157480315" header="0.511811023622047" footer="0.41"/>
  <pageSetup fitToHeight="0" fitToWidth="1" horizontalDpi="600" verticalDpi="600" orientation="landscape" paperSize="9" scale="81" r:id="rId1"/>
  <headerFooter alignWithMargins="0">
    <oddFooter>&amp;R&amp;"Times New Roman,Regular"&amp;12&amp;P/&amp;N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2"/>
  <sheetViews>
    <sheetView view="pageBreakPreview" zoomScale="85" zoomScaleNormal="70" zoomScaleSheetLayoutView="85" zoomScalePageLayoutView="0" workbookViewId="0" topLeftCell="A1">
      <selection activeCell="G5" sqref="G5:G6"/>
    </sheetView>
  </sheetViews>
  <sheetFormatPr defaultColWidth="9.140625" defaultRowHeight="12.75"/>
  <cols>
    <col min="1" max="1" width="5.00390625" style="461" customWidth="1"/>
    <col min="2" max="2" width="36.28125" style="422" customWidth="1"/>
    <col min="3" max="3" width="15.7109375" style="423" customWidth="1"/>
    <col min="4" max="4" width="15.28125" style="423" customWidth="1"/>
    <col min="5" max="5" width="15.00390625" style="423" customWidth="1"/>
    <col min="6" max="6" width="14.28125" style="421" customWidth="1"/>
    <col min="7" max="8" width="15.00390625" style="421" customWidth="1"/>
    <col min="9" max="9" width="15.57421875" style="421" customWidth="1"/>
    <col min="10" max="16384" width="9.140625" style="421" customWidth="1"/>
  </cols>
  <sheetData>
    <row r="1" spans="1:9" s="908" customFormat="1" ht="30" customHeight="1">
      <c r="A1" s="927"/>
      <c r="B1" s="856" t="s">
        <v>643</v>
      </c>
      <c r="C1" s="909"/>
      <c r="D1" s="909"/>
      <c r="E1" s="909"/>
      <c r="F1" s="928"/>
      <c r="G1" s="917" t="s">
        <v>342</v>
      </c>
      <c r="H1" s="1213" t="s">
        <v>331</v>
      </c>
      <c r="I1" s="1213"/>
    </row>
    <row r="2" spans="2:10" ht="30" customHeight="1">
      <c r="B2" s="1212" t="s">
        <v>642</v>
      </c>
      <c r="C2" s="1212"/>
      <c r="D2" s="1212"/>
      <c r="E2" s="1212"/>
      <c r="F2" s="1212"/>
      <c r="G2" s="1212"/>
      <c r="H2" s="1212"/>
      <c r="I2" s="1212"/>
      <c r="J2" s="640"/>
    </row>
    <row r="3" spans="1:10" ht="35.25" customHeight="1">
      <c r="A3" s="1203" t="s">
        <v>644</v>
      </c>
      <c r="B3" s="1203"/>
      <c r="C3" s="1203"/>
      <c r="D3" s="1203"/>
      <c r="E3" s="1203"/>
      <c r="F3" s="1203"/>
      <c r="G3" s="1203"/>
      <c r="H3" s="1203"/>
      <c r="I3" s="1203"/>
      <c r="J3" s="431"/>
    </row>
    <row r="4" spans="1:10" ht="24" customHeight="1">
      <c r="A4" s="454"/>
      <c r="B4" s="455"/>
      <c r="C4" s="430"/>
      <c r="D4" s="430"/>
      <c r="E4" s="430"/>
      <c r="F4" s="431"/>
      <c r="G4" s="431"/>
      <c r="H4" s="1232" t="s">
        <v>645</v>
      </c>
      <c r="I4" s="1232"/>
      <c r="J4" s="431"/>
    </row>
    <row r="5" spans="1:10" s="434" customFormat="1" ht="36.75" customHeight="1">
      <c r="A5" s="1207" t="s">
        <v>646</v>
      </c>
      <c r="B5" s="1207" t="s">
        <v>647</v>
      </c>
      <c r="C5" s="1207" t="s">
        <v>648</v>
      </c>
      <c r="D5" s="1207"/>
      <c r="E5" s="1207" t="s">
        <v>333</v>
      </c>
      <c r="F5" s="1207" t="s">
        <v>334</v>
      </c>
      <c r="G5" s="1207" t="s">
        <v>335</v>
      </c>
      <c r="H5" s="1207" t="s">
        <v>336</v>
      </c>
      <c r="I5" s="1207" t="s">
        <v>337</v>
      </c>
      <c r="J5" s="464"/>
    </row>
    <row r="6" spans="1:19" ht="35.25" customHeight="1">
      <c r="A6" s="1207"/>
      <c r="B6" s="1207"/>
      <c r="C6" s="433" t="s">
        <v>649</v>
      </c>
      <c r="D6" s="433" t="s">
        <v>650</v>
      </c>
      <c r="E6" s="1207"/>
      <c r="F6" s="1207"/>
      <c r="G6" s="1207"/>
      <c r="H6" s="1207"/>
      <c r="I6" s="1207"/>
      <c r="J6" s="526"/>
      <c r="K6" s="447"/>
      <c r="M6" s="449"/>
      <c r="N6" s="447"/>
      <c r="P6" s="449"/>
      <c r="Q6" s="447"/>
      <c r="S6" s="449"/>
    </row>
    <row r="7" spans="1:19" ht="16.5">
      <c r="A7" s="757"/>
      <c r="B7" s="758" t="s">
        <v>215</v>
      </c>
      <c r="C7" s="759"/>
      <c r="D7" s="759"/>
      <c r="E7" s="760"/>
      <c r="F7" s="761"/>
      <c r="G7" s="762"/>
      <c r="H7" s="762"/>
      <c r="I7" s="762"/>
      <c r="J7" s="526"/>
      <c r="K7" s="447"/>
      <c r="M7" s="449"/>
      <c r="N7" s="447"/>
      <c r="P7" s="449"/>
      <c r="Q7" s="447"/>
      <c r="S7" s="449"/>
    </row>
    <row r="8" spans="1:19" s="441" customFormat="1" ht="31.5">
      <c r="A8" s="763" t="s">
        <v>101</v>
      </c>
      <c r="B8" s="764" t="s">
        <v>651</v>
      </c>
      <c r="C8" s="758"/>
      <c r="D8" s="437">
        <v>0</v>
      </c>
      <c r="E8" s="765"/>
      <c r="F8" s="766"/>
      <c r="G8" s="766"/>
      <c r="H8" s="766"/>
      <c r="I8" s="766"/>
      <c r="J8" s="470"/>
      <c r="K8" s="539"/>
      <c r="M8" s="538"/>
      <c r="N8" s="539"/>
      <c r="P8" s="538"/>
      <c r="Q8" s="539"/>
      <c r="S8" s="538"/>
    </row>
    <row r="9" spans="1:10" ht="47.25">
      <c r="A9" s="757">
        <v>1</v>
      </c>
      <c r="B9" s="767" t="s">
        <v>652</v>
      </c>
      <c r="C9" s="768">
        <v>2500</v>
      </c>
      <c r="D9" s="768">
        <v>0</v>
      </c>
      <c r="E9" s="769">
        <f>C9</f>
        <v>2500</v>
      </c>
      <c r="F9" s="761"/>
      <c r="G9" s="761"/>
      <c r="H9" s="761"/>
      <c r="I9" s="761"/>
      <c r="J9" s="431"/>
    </row>
    <row r="10" spans="1:19" s="441" customFormat="1" ht="63">
      <c r="A10" s="763" t="s">
        <v>102</v>
      </c>
      <c r="B10" s="764" t="s">
        <v>653</v>
      </c>
      <c r="C10" s="1001">
        <f aca="true" t="shared" si="0" ref="C10:I10">SUM(C11:C38)</f>
        <v>73476.076</v>
      </c>
      <c r="D10" s="1001">
        <f t="shared" si="0"/>
        <v>0</v>
      </c>
      <c r="E10" s="1001">
        <f t="shared" si="0"/>
        <v>30100</v>
      </c>
      <c r="F10" s="1001">
        <f t="shared" si="0"/>
        <v>15816.076000000001</v>
      </c>
      <c r="G10" s="1001">
        <f t="shared" si="0"/>
        <v>7800</v>
      </c>
      <c r="H10" s="1001">
        <f t="shared" si="0"/>
        <v>9000</v>
      </c>
      <c r="I10" s="1001">
        <f t="shared" si="0"/>
        <v>10760</v>
      </c>
      <c r="J10" s="470"/>
      <c r="K10" s="539"/>
      <c r="M10" s="538"/>
      <c r="N10" s="539"/>
      <c r="P10" s="538"/>
      <c r="Q10" s="539"/>
      <c r="S10" s="538"/>
    </row>
    <row r="11" spans="1:19" s="441" customFormat="1" ht="31.5">
      <c r="A11" s="757">
        <v>1</v>
      </c>
      <c r="B11" s="770" t="s">
        <v>654</v>
      </c>
      <c r="C11" s="1001"/>
      <c r="D11" s="768">
        <v>0</v>
      </c>
      <c r="E11" s="1001"/>
      <c r="F11" s="1001"/>
      <c r="G11" s="1001"/>
      <c r="H11" s="1001"/>
      <c r="I11" s="1001"/>
      <c r="J11" s="470"/>
      <c r="K11" s="539"/>
      <c r="M11" s="538"/>
      <c r="N11" s="539"/>
      <c r="P11" s="538"/>
      <c r="Q11" s="539"/>
      <c r="S11" s="538"/>
    </row>
    <row r="12" spans="1:19" s="441" customFormat="1" ht="31.5">
      <c r="A12" s="757">
        <v>2</v>
      </c>
      <c r="B12" s="770" t="s">
        <v>655</v>
      </c>
      <c r="C12" s="1001"/>
      <c r="D12" s="768">
        <v>0</v>
      </c>
      <c r="E12" s="1001"/>
      <c r="F12" s="1001"/>
      <c r="G12" s="1001"/>
      <c r="H12" s="1001"/>
      <c r="I12" s="1001"/>
      <c r="J12" s="470"/>
      <c r="K12" s="539"/>
      <c r="M12" s="538"/>
      <c r="N12" s="539"/>
      <c r="P12" s="538"/>
      <c r="Q12" s="539"/>
      <c r="S12" s="538"/>
    </row>
    <row r="13" spans="1:10" ht="31.5">
      <c r="A13" s="759">
        <v>3</v>
      </c>
      <c r="B13" s="771" t="s">
        <v>656</v>
      </c>
      <c r="C13" s="768">
        <v>5000</v>
      </c>
      <c r="D13" s="768">
        <v>0</v>
      </c>
      <c r="E13" s="768">
        <v>3000</v>
      </c>
      <c r="F13" s="768">
        <v>2000</v>
      </c>
      <c r="G13" s="768"/>
      <c r="H13" s="768"/>
      <c r="I13" s="768"/>
      <c r="J13" s="431"/>
    </row>
    <row r="14" spans="1:10" ht="16.5">
      <c r="A14" s="1233">
        <v>4</v>
      </c>
      <c r="B14" s="1234" t="s">
        <v>657</v>
      </c>
      <c r="C14" s="1231">
        <v>2800</v>
      </c>
      <c r="D14" s="1231">
        <v>0</v>
      </c>
      <c r="E14" s="1231"/>
      <c r="F14" s="1231"/>
      <c r="G14" s="1231">
        <v>2800</v>
      </c>
      <c r="H14" s="1231"/>
      <c r="I14" s="1231"/>
      <c r="J14" s="431"/>
    </row>
    <row r="15" spans="1:10" ht="16.5">
      <c r="A15" s="1233"/>
      <c r="B15" s="1234"/>
      <c r="C15" s="1231"/>
      <c r="D15" s="1231"/>
      <c r="E15" s="1231"/>
      <c r="F15" s="1231"/>
      <c r="G15" s="1231"/>
      <c r="H15" s="1231"/>
      <c r="I15" s="1231"/>
      <c r="J15" s="431"/>
    </row>
    <row r="16" spans="1:10" ht="16.5">
      <c r="A16" s="1233">
        <v>5</v>
      </c>
      <c r="B16" s="1234" t="s">
        <v>658</v>
      </c>
      <c r="C16" s="1231">
        <v>2800</v>
      </c>
      <c r="D16" s="1231">
        <v>0</v>
      </c>
      <c r="E16" s="1231"/>
      <c r="F16" s="1231"/>
      <c r="G16" s="1231"/>
      <c r="H16" s="1231"/>
      <c r="I16" s="1231">
        <v>2800</v>
      </c>
      <c r="J16" s="431"/>
    </row>
    <row r="17" spans="1:10" ht="16.5">
      <c r="A17" s="1233"/>
      <c r="B17" s="1234"/>
      <c r="C17" s="1231"/>
      <c r="D17" s="1231"/>
      <c r="E17" s="1231"/>
      <c r="F17" s="1231"/>
      <c r="G17" s="1231"/>
      <c r="H17" s="1231"/>
      <c r="I17" s="1231"/>
      <c r="J17" s="431"/>
    </row>
    <row r="18" spans="1:10" ht="16.5">
      <c r="A18" s="1233">
        <v>6</v>
      </c>
      <c r="B18" s="1234" t="s">
        <v>659</v>
      </c>
      <c r="C18" s="1231">
        <v>1500</v>
      </c>
      <c r="D18" s="1231">
        <v>0</v>
      </c>
      <c r="E18" s="1231">
        <v>1500</v>
      </c>
      <c r="F18" s="1231"/>
      <c r="G18" s="1231"/>
      <c r="H18" s="1231"/>
      <c r="I18" s="1231"/>
      <c r="J18" s="431"/>
    </row>
    <row r="19" spans="1:19" ht="16.5">
      <c r="A19" s="1233"/>
      <c r="B19" s="1234"/>
      <c r="C19" s="1231"/>
      <c r="D19" s="1231"/>
      <c r="E19" s="1231"/>
      <c r="F19" s="1231"/>
      <c r="G19" s="1231"/>
      <c r="H19" s="1231"/>
      <c r="I19" s="1231"/>
      <c r="J19" s="526"/>
      <c r="K19" s="447"/>
      <c r="M19" s="449"/>
      <c r="N19" s="447"/>
      <c r="P19" s="449"/>
      <c r="Q19" s="447"/>
      <c r="S19" s="449"/>
    </row>
    <row r="20" spans="1:17" ht="31.5">
      <c r="A20" s="759">
        <v>7</v>
      </c>
      <c r="B20" s="771" t="s">
        <v>660</v>
      </c>
      <c r="C20" s="768">
        <v>1700</v>
      </c>
      <c r="D20" s="759"/>
      <c r="E20" s="768"/>
      <c r="F20" s="768">
        <v>1700</v>
      </c>
      <c r="G20" s="768"/>
      <c r="H20" s="768"/>
      <c r="I20" s="768"/>
      <c r="J20" s="526"/>
      <c r="K20" s="447"/>
      <c r="M20" s="449"/>
      <c r="N20" s="447"/>
      <c r="P20" s="449"/>
      <c r="Q20" s="447"/>
    </row>
    <row r="21" spans="1:19" ht="63">
      <c r="A21" s="759">
        <v>8</v>
      </c>
      <c r="B21" s="771" t="s">
        <v>661</v>
      </c>
      <c r="C21" s="768">
        <v>2000</v>
      </c>
      <c r="D21" s="768">
        <v>0</v>
      </c>
      <c r="E21" s="768">
        <v>2000</v>
      </c>
      <c r="F21" s="768"/>
      <c r="G21" s="768"/>
      <c r="H21" s="768"/>
      <c r="I21" s="768"/>
      <c r="J21" s="526"/>
      <c r="K21" s="447"/>
      <c r="M21" s="449"/>
      <c r="N21" s="447"/>
      <c r="P21" s="449"/>
      <c r="Q21" s="447"/>
      <c r="S21" s="449"/>
    </row>
    <row r="22" spans="1:19" ht="78.75">
      <c r="A22" s="759">
        <v>9</v>
      </c>
      <c r="B22" s="771" t="s">
        <v>662</v>
      </c>
      <c r="C22" s="768">
        <v>3000</v>
      </c>
      <c r="D22" s="768">
        <v>0</v>
      </c>
      <c r="E22" s="768">
        <v>3000</v>
      </c>
      <c r="F22" s="768"/>
      <c r="G22" s="768"/>
      <c r="H22" s="768"/>
      <c r="I22" s="768"/>
      <c r="J22" s="526"/>
      <c r="K22" s="447"/>
      <c r="M22" s="449"/>
      <c r="N22" s="447"/>
      <c r="P22" s="449"/>
      <c r="Q22" s="447"/>
      <c r="S22" s="449"/>
    </row>
    <row r="23" spans="1:10" ht="63">
      <c r="A23" s="759">
        <v>10</v>
      </c>
      <c r="B23" s="771" t="s">
        <v>663</v>
      </c>
      <c r="C23" s="768">
        <v>1500</v>
      </c>
      <c r="D23" s="768">
        <v>0</v>
      </c>
      <c r="E23" s="768">
        <v>1500</v>
      </c>
      <c r="F23" s="768"/>
      <c r="G23" s="768"/>
      <c r="H23" s="768"/>
      <c r="I23" s="768"/>
      <c r="J23" s="431"/>
    </row>
    <row r="24" spans="1:10" ht="63">
      <c r="A24" s="759">
        <v>11</v>
      </c>
      <c r="B24" s="771" t="s">
        <v>664</v>
      </c>
      <c r="C24" s="768">
        <v>1300</v>
      </c>
      <c r="D24" s="768">
        <v>0</v>
      </c>
      <c r="E24" s="768"/>
      <c r="F24" s="768">
        <v>1300</v>
      </c>
      <c r="G24" s="768"/>
      <c r="H24" s="768"/>
      <c r="I24" s="768"/>
      <c r="J24" s="431"/>
    </row>
    <row r="25" spans="1:10" ht="47.25">
      <c r="A25" s="759">
        <v>12</v>
      </c>
      <c r="B25" s="771" t="s">
        <v>665</v>
      </c>
      <c r="C25" s="768">
        <v>3500</v>
      </c>
      <c r="D25" s="768">
        <v>0</v>
      </c>
      <c r="E25" s="768"/>
      <c r="F25" s="768"/>
      <c r="G25" s="768"/>
      <c r="H25" s="768">
        <v>3500</v>
      </c>
      <c r="I25" s="768"/>
      <c r="J25" s="431"/>
    </row>
    <row r="26" spans="1:10" ht="47.25">
      <c r="A26" s="759">
        <v>13</v>
      </c>
      <c r="B26" s="771" t="s">
        <v>666</v>
      </c>
      <c r="C26" s="768">
        <v>1500</v>
      </c>
      <c r="D26" s="768">
        <v>0</v>
      </c>
      <c r="E26" s="768"/>
      <c r="F26" s="768"/>
      <c r="G26" s="768"/>
      <c r="H26" s="768"/>
      <c r="I26" s="768">
        <v>1500</v>
      </c>
      <c r="J26" s="431"/>
    </row>
    <row r="27" spans="1:10" ht="63">
      <c r="A27" s="757">
        <v>14</v>
      </c>
      <c r="B27" s="767" t="s">
        <v>667</v>
      </c>
      <c r="C27" s="772">
        <v>378.076</v>
      </c>
      <c r="D27" s="768">
        <v>0</v>
      </c>
      <c r="E27" s="772">
        <v>100</v>
      </c>
      <c r="F27" s="773">
        <v>278.076</v>
      </c>
      <c r="G27" s="774"/>
      <c r="H27" s="774"/>
      <c r="I27" s="774"/>
      <c r="J27" s="431"/>
    </row>
    <row r="28" spans="1:19" s="775" customFormat="1" ht="47.25">
      <c r="A28" s="757">
        <v>15</v>
      </c>
      <c r="B28" s="776" t="s">
        <v>668</v>
      </c>
      <c r="C28" s="772">
        <v>2883</v>
      </c>
      <c r="D28" s="768">
        <v>0</v>
      </c>
      <c r="E28" s="769">
        <v>1000</v>
      </c>
      <c r="F28" s="761">
        <v>1883</v>
      </c>
      <c r="G28" s="761"/>
      <c r="H28" s="761"/>
      <c r="I28" s="761"/>
      <c r="J28" s="431"/>
      <c r="K28" s="421"/>
      <c r="L28" s="421"/>
      <c r="M28" s="421"/>
      <c r="N28" s="421"/>
      <c r="O28" s="421"/>
      <c r="P28" s="421"/>
      <c r="Q28" s="421"/>
      <c r="R28" s="421"/>
      <c r="S28" s="421"/>
    </row>
    <row r="29" spans="1:10" ht="47.25">
      <c r="A29" s="757">
        <v>16</v>
      </c>
      <c r="B29" s="776" t="s">
        <v>669</v>
      </c>
      <c r="C29" s="772">
        <v>2655</v>
      </c>
      <c r="D29" s="768">
        <v>0</v>
      </c>
      <c r="E29" s="769">
        <v>1000</v>
      </c>
      <c r="F29" s="761">
        <v>1655</v>
      </c>
      <c r="G29" s="761"/>
      <c r="H29" s="761"/>
      <c r="I29" s="761"/>
      <c r="J29" s="431"/>
    </row>
    <row r="30" spans="1:19" s="441" customFormat="1" ht="31.5">
      <c r="A30" s="757">
        <v>17</v>
      </c>
      <c r="B30" s="767" t="s">
        <v>670</v>
      </c>
      <c r="C30" s="768">
        <v>2000</v>
      </c>
      <c r="D30" s="768">
        <v>0</v>
      </c>
      <c r="E30" s="777"/>
      <c r="F30" s="761">
        <v>2000</v>
      </c>
      <c r="G30" s="766"/>
      <c r="H30" s="766"/>
      <c r="I30" s="766"/>
      <c r="J30" s="470"/>
      <c r="K30" s="539"/>
      <c r="M30" s="538"/>
      <c r="N30" s="539"/>
      <c r="P30" s="538"/>
      <c r="Q30" s="539"/>
      <c r="S30" s="538"/>
    </row>
    <row r="31" spans="1:10" ht="47.25">
      <c r="A31" s="757">
        <v>18</v>
      </c>
      <c r="B31" s="767" t="s">
        <v>671</v>
      </c>
      <c r="C31" s="768">
        <f>SUM(E31:I31)</f>
        <v>27500</v>
      </c>
      <c r="D31" s="768">
        <v>0</v>
      </c>
      <c r="E31" s="769">
        <f>1350*10</f>
        <v>13500</v>
      </c>
      <c r="F31" s="769">
        <f>350*10</f>
        <v>3500</v>
      </c>
      <c r="G31" s="769">
        <f>350*10</f>
        <v>3500</v>
      </c>
      <c r="H31" s="769">
        <f>350*10</f>
        <v>3500</v>
      </c>
      <c r="I31" s="769">
        <f>350*10</f>
        <v>3500</v>
      </c>
      <c r="J31" s="431"/>
    </row>
    <row r="32" spans="1:10" ht="16.5">
      <c r="A32" s="757">
        <v>19</v>
      </c>
      <c r="B32" s="1000" t="s">
        <v>672</v>
      </c>
      <c r="C32" s="768"/>
      <c r="D32" s="768">
        <v>0</v>
      </c>
      <c r="E32" s="768"/>
      <c r="F32" s="774"/>
      <c r="G32" s="774"/>
      <c r="H32" s="774"/>
      <c r="I32" s="774"/>
      <c r="J32" s="431"/>
    </row>
    <row r="33" spans="1:10" ht="31.5">
      <c r="A33" s="757">
        <v>20</v>
      </c>
      <c r="B33" s="1000" t="s">
        <v>673</v>
      </c>
      <c r="C33" s="768"/>
      <c r="D33" s="768">
        <v>0</v>
      </c>
      <c r="E33" s="768"/>
      <c r="F33" s="774"/>
      <c r="G33" s="774"/>
      <c r="H33" s="774"/>
      <c r="I33" s="774"/>
      <c r="J33" s="431"/>
    </row>
    <row r="34" spans="1:10" ht="31.5">
      <c r="A34" s="757">
        <v>21</v>
      </c>
      <c r="B34" s="767" t="s">
        <v>674</v>
      </c>
      <c r="C34" s="772">
        <v>7500</v>
      </c>
      <c r="D34" s="768">
        <v>0</v>
      </c>
      <c r="E34" s="769">
        <v>1500</v>
      </c>
      <c r="F34" s="761">
        <v>1500</v>
      </c>
      <c r="G34" s="761">
        <v>1500</v>
      </c>
      <c r="H34" s="761">
        <v>1500</v>
      </c>
      <c r="I34" s="761">
        <v>1500</v>
      </c>
      <c r="J34" s="431"/>
    </row>
    <row r="35" spans="1:10" ht="31.5">
      <c r="A35" s="757">
        <v>22</v>
      </c>
      <c r="B35" s="767" t="s">
        <v>675</v>
      </c>
      <c r="C35" s="772">
        <v>1500</v>
      </c>
      <c r="D35" s="768">
        <v>0</v>
      </c>
      <c r="E35" s="769"/>
      <c r="F35" s="761"/>
      <c r="G35" s="761"/>
      <c r="H35" s="761">
        <v>500</v>
      </c>
      <c r="I35" s="761">
        <v>1000</v>
      </c>
      <c r="J35" s="431"/>
    </row>
    <row r="36" spans="1:10" ht="66">
      <c r="A36" s="445">
        <v>23</v>
      </c>
      <c r="B36" s="446" t="s">
        <v>676</v>
      </c>
      <c r="C36" s="778">
        <v>1500</v>
      </c>
      <c r="D36" s="437">
        <v>0</v>
      </c>
      <c r="E36" s="779">
        <v>1500</v>
      </c>
      <c r="F36" s="780"/>
      <c r="G36" s="780"/>
      <c r="H36" s="780"/>
      <c r="I36" s="780"/>
      <c r="J36" s="431"/>
    </row>
    <row r="37" spans="1:10" ht="33">
      <c r="A37" s="757">
        <v>24</v>
      </c>
      <c r="B37" s="446" t="s">
        <v>715</v>
      </c>
      <c r="C37" s="778">
        <v>460</v>
      </c>
      <c r="D37" s="437"/>
      <c r="E37" s="779"/>
      <c r="F37" s="780"/>
      <c r="G37" s="780"/>
      <c r="H37" s="780"/>
      <c r="I37" s="912">
        <v>460</v>
      </c>
      <c r="J37" s="431"/>
    </row>
    <row r="38" spans="1:10" ht="82.5">
      <c r="A38" s="445">
        <v>25</v>
      </c>
      <c r="B38" s="446" t="s">
        <v>677</v>
      </c>
      <c r="C38" s="437">
        <v>500</v>
      </c>
      <c r="D38" s="437">
        <v>0</v>
      </c>
      <c r="E38" s="779">
        <v>500</v>
      </c>
      <c r="F38" s="780"/>
      <c r="G38" s="780"/>
      <c r="H38" s="780"/>
      <c r="I38" s="780"/>
      <c r="J38" s="431"/>
    </row>
    <row r="39" spans="1:10" ht="41.25" customHeight="1">
      <c r="A39" s="421"/>
      <c r="B39" s="421"/>
      <c r="C39" s="421"/>
      <c r="D39" s="421"/>
      <c r="E39" s="421"/>
      <c r="J39" s="431"/>
    </row>
    <row r="40" spans="1:19" ht="16.5">
      <c r="A40" s="454"/>
      <c r="B40" s="458"/>
      <c r="C40" s="430"/>
      <c r="D40" s="430"/>
      <c r="E40" s="430"/>
      <c r="F40" s="526"/>
      <c r="G40" s="431"/>
      <c r="H40" s="431"/>
      <c r="I40" s="431"/>
      <c r="J40" s="526"/>
      <c r="K40" s="447"/>
      <c r="M40" s="449"/>
      <c r="N40" s="447"/>
      <c r="P40" s="449"/>
      <c r="Q40" s="447"/>
      <c r="S40" s="449"/>
    </row>
    <row r="41" spans="1:10" ht="16.5">
      <c r="A41" s="454"/>
      <c r="B41" s="455"/>
      <c r="C41" s="430"/>
      <c r="D41" s="430"/>
      <c r="E41" s="430"/>
      <c r="F41" s="431"/>
      <c r="G41" s="431"/>
      <c r="H41" s="431"/>
      <c r="I41" s="431"/>
      <c r="J41" s="431"/>
    </row>
    <row r="42" spans="1:10" ht="16.5">
      <c r="A42" s="454"/>
      <c r="B42" s="455"/>
      <c r="C42" s="430"/>
      <c r="D42" s="430"/>
      <c r="E42" s="430"/>
      <c r="F42" s="431"/>
      <c r="G42" s="431"/>
      <c r="H42" s="431"/>
      <c r="I42" s="431"/>
      <c r="J42" s="431"/>
    </row>
    <row r="43" spans="1:10" ht="16.5">
      <c r="A43" s="454"/>
      <c r="B43" s="455"/>
      <c r="C43" s="430"/>
      <c r="D43" s="430"/>
      <c r="E43" s="430"/>
      <c r="F43" s="431"/>
      <c r="G43" s="431"/>
      <c r="H43" s="431"/>
      <c r="I43" s="431"/>
      <c r="J43" s="431"/>
    </row>
    <row r="44" spans="1:10" ht="16.5">
      <c r="A44" s="454"/>
      <c r="B44" s="455"/>
      <c r="C44" s="430"/>
      <c r="D44" s="430"/>
      <c r="E44" s="430"/>
      <c r="F44" s="431"/>
      <c r="G44" s="431"/>
      <c r="H44" s="431"/>
      <c r="I44" s="431"/>
      <c r="J44" s="431"/>
    </row>
    <row r="45" spans="1:10" ht="16.5">
      <c r="A45" s="454"/>
      <c r="B45" s="455"/>
      <c r="C45" s="430"/>
      <c r="D45" s="430"/>
      <c r="E45" s="430"/>
      <c r="F45" s="431"/>
      <c r="G45" s="431"/>
      <c r="H45" s="431"/>
      <c r="I45" s="431"/>
      <c r="J45" s="431"/>
    </row>
    <row r="46" spans="1:10" ht="16.5">
      <c r="A46" s="454"/>
      <c r="B46" s="455"/>
      <c r="C46" s="430"/>
      <c r="D46" s="430"/>
      <c r="E46" s="430"/>
      <c r="F46" s="431"/>
      <c r="G46" s="431"/>
      <c r="H46" s="431"/>
      <c r="I46" s="431"/>
      <c r="J46" s="431"/>
    </row>
    <row r="47" spans="1:10" ht="16.5">
      <c r="A47" s="454"/>
      <c r="B47" s="455"/>
      <c r="C47" s="430"/>
      <c r="D47" s="430"/>
      <c r="E47" s="430"/>
      <c r="F47" s="431"/>
      <c r="G47" s="431"/>
      <c r="H47" s="431"/>
      <c r="I47" s="431"/>
      <c r="J47" s="431"/>
    </row>
    <row r="48" spans="1:10" ht="16.5">
      <c r="A48" s="454"/>
      <c r="B48" s="455"/>
      <c r="C48" s="430"/>
      <c r="D48" s="430"/>
      <c r="E48" s="430"/>
      <c r="F48" s="431"/>
      <c r="G48" s="431"/>
      <c r="H48" s="431"/>
      <c r="I48" s="431"/>
      <c r="J48" s="431"/>
    </row>
    <row r="49" spans="1:10" ht="16.5">
      <c r="A49" s="454"/>
      <c r="B49" s="455"/>
      <c r="C49" s="430"/>
      <c r="D49" s="430"/>
      <c r="E49" s="430"/>
      <c r="F49" s="431"/>
      <c r="G49" s="431"/>
      <c r="H49" s="431"/>
      <c r="I49" s="431"/>
      <c r="J49" s="431"/>
    </row>
    <row r="50" spans="1:10" ht="16.5">
      <c r="A50" s="454"/>
      <c r="B50" s="455"/>
      <c r="C50" s="430"/>
      <c r="D50" s="430"/>
      <c r="E50" s="430"/>
      <c r="F50" s="431"/>
      <c r="G50" s="431"/>
      <c r="H50" s="431"/>
      <c r="I50" s="431"/>
      <c r="J50" s="431"/>
    </row>
    <row r="51" spans="1:10" ht="16.5">
      <c r="A51" s="454"/>
      <c r="B51" s="455"/>
      <c r="C51" s="430"/>
      <c r="D51" s="430"/>
      <c r="E51" s="430"/>
      <c r="F51" s="431"/>
      <c r="G51" s="431"/>
      <c r="H51" s="431"/>
      <c r="I51" s="431"/>
      <c r="J51" s="431"/>
    </row>
    <row r="52" spans="1:10" ht="16.5">
      <c r="A52" s="454"/>
      <c r="B52" s="455"/>
      <c r="C52" s="430"/>
      <c r="D52" s="430"/>
      <c r="E52" s="430"/>
      <c r="F52" s="431"/>
      <c r="G52" s="431"/>
      <c r="H52" s="431"/>
      <c r="I52" s="431"/>
      <c r="J52" s="431"/>
    </row>
    <row r="53" spans="1:10" ht="16.5">
      <c r="A53" s="454"/>
      <c r="B53" s="455"/>
      <c r="C53" s="430"/>
      <c r="D53" s="430"/>
      <c r="E53" s="430"/>
      <c r="F53" s="431"/>
      <c r="G53" s="431"/>
      <c r="H53" s="431"/>
      <c r="I53" s="431"/>
      <c r="J53" s="431"/>
    </row>
    <row r="54" spans="1:10" ht="16.5">
      <c r="A54" s="454"/>
      <c r="B54" s="455"/>
      <c r="C54" s="430"/>
      <c r="D54" s="430"/>
      <c r="E54" s="430"/>
      <c r="F54" s="431"/>
      <c r="G54" s="431"/>
      <c r="H54" s="431"/>
      <c r="I54" s="431"/>
      <c r="J54" s="431"/>
    </row>
    <row r="55" spans="1:10" ht="16.5">
      <c r="A55" s="454"/>
      <c r="B55" s="455"/>
      <c r="C55" s="430"/>
      <c r="D55" s="430"/>
      <c r="E55" s="430"/>
      <c r="F55" s="431"/>
      <c r="G55" s="431"/>
      <c r="H55" s="431"/>
      <c r="I55" s="431"/>
      <c r="J55" s="431"/>
    </row>
    <row r="56" spans="1:10" ht="16.5">
      <c r="A56" s="454"/>
      <c r="B56" s="455"/>
      <c r="C56" s="430"/>
      <c r="D56" s="430"/>
      <c r="E56" s="430"/>
      <c r="F56" s="431"/>
      <c r="G56" s="431"/>
      <c r="H56" s="431"/>
      <c r="I56" s="431"/>
      <c r="J56" s="431"/>
    </row>
    <row r="57" spans="1:10" ht="16.5">
      <c r="A57" s="454"/>
      <c r="B57" s="455"/>
      <c r="C57" s="430"/>
      <c r="D57" s="430"/>
      <c r="E57" s="430"/>
      <c r="F57" s="431"/>
      <c r="G57" s="431"/>
      <c r="H57" s="431"/>
      <c r="I57" s="431"/>
      <c r="J57" s="431"/>
    </row>
    <row r="58" spans="1:10" ht="16.5">
      <c r="A58" s="454"/>
      <c r="B58" s="455"/>
      <c r="C58" s="430"/>
      <c r="D58" s="430"/>
      <c r="E58" s="430"/>
      <c r="F58" s="431"/>
      <c r="G58" s="431"/>
      <c r="H58" s="431"/>
      <c r="I58" s="431"/>
      <c r="J58" s="431"/>
    </row>
    <row r="59" spans="1:10" ht="16.5">
      <c r="A59" s="454"/>
      <c r="B59" s="455"/>
      <c r="C59" s="430"/>
      <c r="D59" s="430"/>
      <c r="E59" s="430"/>
      <c r="F59" s="431"/>
      <c r="G59" s="431"/>
      <c r="H59" s="431"/>
      <c r="I59" s="431"/>
      <c r="J59" s="431"/>
    </row>
    <row r="60" spans="1:10" ht="16.5">
      <c r="A60" s="454"/>
      <c r="B60" s="455"/>
      <c r="C60" s="430"/>
      <c r="D60" s="430"/>
      <c r="E60" s="430"/>
      <c r="F60" s="431"/>
      <c r="G60" s="431"/>
      <c r="H60" s="431"/>
      <c r="I60" s="431"/>
      <c r="J60" s="431"/>
    </row>
    <row r="61" spans="1:10" ht="16.5">
      <c r="A61" s="454"/>
      <c r="B61" s="455"/>
      <c r="C61" s="430"/>
      <c r="D61" s="430"/>
      <c r="E61" s="430"/>
      <c r="F61" s="431"/>
      <c r="G61" s="431"/>
      <c r="H61" s="431"/>
      <c r="I61" s="431"/>
      <c r="J61" s="431"/>
    </row>
    <row r="62" spans="1:10" ht="16.5">
      <c r="A62" s="454"/>
      <c r="B62" s="455"/>
      <c r="C62" s="430"/>
      <c r="D62" s="430"/>
      <c r="E62" s="430"/>
      <c r="F62" s="431"/>
      <c r="G62" s="431"/>
      <c r="H62" s="431"/>
      <c r="I62" s="431"/>
      <c r="J62" s="431"/>
    </row>
    <row r="63" spans="1:10" ht="16.5">
      <c r="A63" s="454"/>
      <c r="B63" s="455"/>
      <c r="C63" s="430"/>
      <c r="D63" s="430"/>
      <c r="E63" s="430"/>
      <c r="F63" s="431"/>
      <c r="G63" s="431"/>
      <c r="H63" s="431"/>
      <c r="I63" s="431"/>
      <c r="J63" s="431"/>
    </row>
    <row r="64" spans="1:10" ht="16.5">
      <c r="A64" s="454"/>
      <c r="B64" s="455"/>
      <c r="C64" s="430"/>
      <c r="D64" s="430"/>
      <c r="E64" s="430"/>
      <c r="F64" s="431"/>
      <c r="G64" s="431"/>
      <c r="H64" s="431"/>
      <c r="I64" s="431"/>
      <c r="J64" s="431"/>
    </row>
    <row r="65" spans="1:10" ht="16.5">
      <c r="A65" s="454"/>
      <c r="B65" s="455"/>
      <c r="C65" s="430"/>
      <c r="D65" s="430"/>
      <c r="E65" s="430"/>
      <c r="F65" s="431"/>
      <c r="G65" s="431"/>
      <c r="H65" s="431"/>
      <c r="I65" s="431"/>
      <c r="J65" s="431"/>
    </row>
    <row r="66" spans="1:10" ht="16.5">
      <c r="A66" s="454"/>
      <c r="B66" s="455"/>
      <c r="C66" s="430"/>
      <c r="D66" s="430"/>
      <c r="E66" s="430"/>
      <c r="F66" s="431"/>
      <c r="G66" s="431"/>
      <c r="H66" s="431"/>
      <c r="I66" s="431"/>
      <c r="J66" s="431"/>
    </row>
    <row r="67" spans="1:10" ht="16.5">
      <c r="A67" s="454"/>
      <c r="B67" s="455"/>
      <c r="C67" s="430"/>
      <c r="D67" s="430"/>
      <c r="E67" s="430"/>
      <c r="F67" s="431"/>
      <c r="G67" s="431"/>
      <c r="H67" s="431"/>
      <c r="I67" s="431"/>
      <c r="J67" s="431"/>
    </row>
    <row r="68" spans="1:10" ht="16.5">
      <c r="A68" s="454"/>
      <c r="B68" s="455"/>
      <c r="C68" s="430"/>
      <c r="D68" s="430"/>
      <c r="E68" s="430"/>
      <c r="F68" s="431"/>
      <c r="G68" s="431"/>
      <c r="H68" s="431"/>
      <c r="I68" s="431"/>
      <c r="J68" s="431"/>
    </row>
    <row r="69" spans="1:10" ht="16.5">
      <c r="A69" s="454"/>
      <c r="B69" s="455"/>
      <c r="C69" s="430"/>
      <c r="D69" s="430"/>
      <c r="E69" s="430"/>
      <c r="F69" s="431"/>
      <c r="G69" s="431"/>
      <c r="H69" s="431"/>
      <c r="I69" s="431"/>
      <c r="J69" s="431"/>
    </row>
    <row r="70" spans="1:10" ht="16.5">
      <c r="A70" s="454"/>
      <c r="B70" s="455"/>
      <c r="C70" s="430"/>
      <c r="D70" s="430"/>
      <c r="E70" s="430"/>
      <c r="F70" s="431"/>
      <c r="G70" s="431"/>
      <c r="H70" s="431"/>
      <c r="I70" s="431"/>
      <c r="J70" s="431"/>
    </row>
    <row r="71" spans="1:10" ht="16.5">
      <c r="A71" s="454"/>
      <c r="B71" s="455"/>
      <c r="C71" s="430"/>
      <c r="D71" s="430"/>
      <c r="E71" s="430"/>
      <c r="F71" s="431"/>
      <c r="G71" s="431"/>
      <c r="H71" s="431"/>
      <c r="I71" s="431"/>
      <c r="J71" s="431"/>
    </row>
    <row r="72" spans="1:10" ht="16.5">
      <c r="A72" s="454"/>
      <c r="B72" s="455"/>
      <c r="C72" s="430"/>
      <c r="D72" s="430"/>
      <c r="E72" s="430"/>
      <c r="F72" s="431"/>
      <c r="G72" s="431"/>
      <c r="H72" s="431"/>
      <c r="I72" s="431"/>
      <c r="J72" s="431"/>
    </row>
    <row r="73" spans="1:10" ht="16.5">
      <c r="A73" s="454"/>
      <c r="B73" s="455"/>
      <c r="C73" s="430"/>
      <c r="D73" s="430"/>
      <c r="E73" s="430"/>
      <c r="F73" s="431"/>
      <c r="G73" s="431"/>
      <c r="H73" s="431"/>
      <c r="I73" s="431"/>
      <c r="J73" s="431"/>
    </row>
    <row r="74" spans="1:10" ht="16.5">
      <c r="A74" s="454"/>
      <c r="B74" s="455"/>
      <c r="C74" s="430"/>
      <c r="D74" s="430"/>
      <c r="E74" s="430"/>
      <c r="F74" s="431"/>
      <c r="G74" s="431"/>
      <c r="H74" s="431"/>
      <c r="I74" s="431"/>
      <c r="J74" s="431"/>
    </row>
    <row r="75" spans="1:10" ht="16.5">
      <c r="A75" s="454"/>
      <c r="B75" s="455"/>
      <c r="C75" s="430"/>
      <c r="D75" s="430"/>
      <c r="E75" s="430"/>
      <c r="F75" s="431"/>
      <c r="G75" s="431"/>
      <c r="H75" s="431"/>
      <c r="I75" s="431"/>
      <c r="J75" s="431"/>
    </row>
    <row r="76" spans="1:10" ht="16.5">
      <c r="A76" s="454"/>
      <c r="B76" s="455"/>
      <c r="C76" s="430"/>
      <c r="D76" s="430"/>
      <c r="E76" s="430"/>
      <c r="F76" s="431"/>
      <c r="G76" s="431"/>
      <c r="H76" s="431"/>
      <c r="I76" s="431"/>
      <c r="J76" s="431"/>
    </row>
    <row r="77" spans="1:10" ht="16.5">
      <c r="A77" s="454"/>
      <c r="B77" s="455"/>
      <c r="C77" s="430"/>
      <c r="D77" s="430"/>
      <c r="E77" s="430"/>
      <c r="F77" s="431"/>
      <c r="G77" s="431"/>
      <c r="H77" s="431"/>
      <c r="I77" s="431"/>
      <c r="J77" s="431"/>
    </row>
    <row r="78" spans="1:10" ht="16.5">
      <c r="A78" s="454"/>
      <c r="B78" s="455"/>
      <c r="C78" s="430"/>
      <c r="D78" s="430"/>
      <c r="E78" s="430"/>
      <c r="F78" s="431"/>
      <c r="G78" s="431"/>
      <c r="H78" s="431"/>
      <c r="I78" s="431"/>
      <c r="J78" s="431"/>
    </row>
    <row r="79" spans="1:10" ht="16.5">
      <c r="A79" s="454"/>
      <c r="B79" s="455"/>
      <c r="C79" s="430"/>
      <c r="D79" s="430"/>
      <c r="E79" s="430"/>
      <c r="F79" s="431"/>
      <c r="G79" s="431"/>
      <c r="H79" s="431"/>
      <c r="I79" s="431"/>
      <c r="J79" s="431"/>
    </row>
    <row r="80" spans="1:10" ht="16.5">
      <c r="A80" s="454"/>
      <c r="B80" s="455"/>
      <c r="C80" s="430"/>
      <c r="D80" s="430"/>
      <c r="E80" s="430"/>
      <c r="F80" s="431"/>
      <c r="G80" s="431"/>
      <c r="H80" s="431"/>
      <c r="I80" s="431"/>
      <c r="J80" s="431"/>
    </row>
    <row r="81" spans="1:10" ht="16.5">
      <c r="A81" s="454"/>
      <c r="B81" s="455"/>
      <c r="C81" s="430"/>
      <c r="D81" s="430"/>
      <c r="E81" s="430"/>
      <c r="F81" s="431"/>
      <c r="G81" s="431"/>
      <c r="H81" s="431"/>
      <c r="I81" s="431"/>
      <c r="J81" s="431"/>
    </row>
    <row r="82" spans="1:10" ht="16.5">
      <c r="A82" s="454"/>
      <c r="B82" s="455"/>
      <c r="C82" s="430"/>
      <c r="D82" s="430"/>
      <c r="E82" s="430"/>
      <c r="F82" s="431"/>
      <c r="G82" s="431"/>
      <c r="H82" s="431"/>
      <c r="I82" s="431"/>
      <c r="J82" s="431"/>
    </row>
    <row r="83" spans="1:10" ht="16.5">
      <c r="A83" s="454"/>
      <c r="B83" s="455"/>
      <c r="C83" s="430"/>
      <c r="D83" s="430"/>
      <c r="E83" s="430"/>
      <c r="F83" s="431"/>
      <c r="G83" s="431"/>
      <c r="H83" s="431"/>
      <c r="I83" s="431"/>
      <c r="J83" s="431"/>
    </row>
    <row r="84" spans="1:10" ht="16.5">
      <c r="A84" s="454"/>
      <c r="B84" s="455"/>
      <c r="C84" s="430"/>
      <c r="D84" s="430"/>
      <c r="E84" s="430"/>
      <c r="F84" s="431"/>
      <c r="G84" s="431"/>
      <c r="H84" s="431"/>
      <c r="I84" s="431"/>
      <c r="J84" s="431"/>
    </row>
    <row r="85" spans="1:10" ht="16.5">
      <c r="A85" s="454"/>
      <c r="B85" s="455"/>
      <c r="C85" s="430"/>
      <c r="D85" s="430"/>
      <c r="E85" s="430"/>
      <c r="F85" s="431"/>
      <c r="G85" s="431"/>
      <c r="H85" s="431"/>
      <c r="I85" s="431"/>
      <c r="J85" s="431"/>
    </row>
    <row r="86" spans="1:10" ht="16.5">
      <c r="A86" s="454"/>
      <c r="B86" s="455"/>
      <c r="C86" s="430"/>
      <c r="D86" s="430"/>
      <c r="E86" s="430"/>
      <c r="F86" s="431"/>
      <c r="G86" s="431"/>
      <c r="H86" s="431"/>
      <c r="I86" s="431"/>
      <c r="J86" s="431"/>
    </row>
    <row r="87" spans="1:10" ht="16.5">
      <c r="A87" s="454"/>
      <c r="B87" s="455"/>
      <c r="C87" s="430"/>
      <c r="D87" s="430"/>
      <c r="E87" s="430"/>
      <c r="F87" s="431"/>
      <c r="G87" s="431"/>
      <c r="H87" s="431"/>
      <c r="I87" s="431"/>
      <c r="J87" s="431"/>
    </row>
    <row r="88" spans="1:10" ht="16.5">
      <c r="A88" s="454"/>
      <c r="B88" s="455"/>
      <c r="C88" s="430"/>
      <c r="D88" s="430"/>
      <c r="E88" s="430"/>
      <c r="F88" s="431"/>
      <c r="G88" s="431"/>
      <c r="H88" s="431"/>
      <c r="I88" s="431"/>
      <c r="J88" s="431"/>
    </row>
    <row r="89" spans="1:10" ht="16.5">
      <c r="A89" s="454"/>
      <c r="B89" s="455"/>
      <c r="C89" s="430"/>
      <c r="D89" s="430"/>
      <c r="E89" s="430"/>
      <c r="F89" s="431"/>
      <c r="G89" s="431"/>
      <c r="H89" s="431"/>
      <c r="I89" s="431"/>
      <c r="J89" s="431"/>
    </row>
    <row r="90" spans="1:10" ht="16.5">
      <c r="A90" s="454"/>
      <c r="B90" s="455"/>
      <c r="C90" s="430"/>
      <c r="D90" s="430"/>
      <c r="E90" s="430"/>
      <c r="F90" s="431"/>
      <c r="G90" s="431"/>
      <c r="H90" s="431"/>
      <c r="I90" s="431"/>
      <c r="J90" s="431"/>
    </row>
    <row r="91" spans="1:10" ht="16.5">
      <c r="A91" s="454"/>
      <c r="B91" s="455"/>
      <c r="C91" s="430"/>
      <c r="D91" s="430"/>
      <c r="E91" s="430"/>
      <c r="F91" s="431"/>
      <c r="G91" s="431"/>
      <c r="H91" s="431"/>
      <c r="I91" s="431"/>
      <c r="J91" s="431"/>
    </row>
    <row r="92" spans="1:10" ht="16.5">
      <c r="A92" s="454"/>
      <c r="B92" s="455"/>
      <c r="C92" s="430"/>
      <c r="D92" s="430"/>
      <c r="E92" s="430"/>
      <c r="F92" s="431"/>
      <c r="G92" s="431"/>
      <c r="H92" s="431"/>
      <c r="I92" s="431"/>
      <c r="J92" s="431"/>
    </row>
    <row r="93" spans="1:10" ht="16.5">
      <c r="A93" s="454"/>
      <c r="B93" s="455"/>
      <c r="C93" s="430"/>
      <c r="D93" s="430"/>
      <c r="E93" s="430"/>
      <c r="F93" s="431"/>
      <c r="G93" s="431"/>
      <c r="H93" s="431"/>
      <c r="I93" s="431"/>
      <c r="J93" s="431"/>
    </row>
    <row r="94" spans="1:10" ht="16.5">
      <c r="A94" s="454"/>
      <c r="B94" s="455"/>
      <c r="C94" s="430"/>
      <c r="D94" s="430"/>
      <c r="E94" s="430"/>
      <c r="F94" s="431"/>
      <c r="G94" s="431"/>
      <c r="H94" s="431"/>
      <c r="I94" s="431"/>
      <c r="J94" s="431"/>
    </row>
    <row r="95" spans="1:10" ht="16.5">
      <c r="A95" s="454"/>
      <c r="B95" s="455"/>
      <c r="C95" s="430"/>
      <c r="D95" s="430"/>
      <c r="E95" s="430"/>
      <c r="F95" s="431"/>
      <c r="G95" s="431"/>
      <c r="H95" s="431"/>
      <c r="I95" s="431"/>
      <c r="J95" s="431"/>
    </row>
    <row r="96" spans="1:10" ht="16.5">
      <c r="A96" s="454"/>
      <c r="B96" s="455"/>
      <c r="C96" s="430"/>
      <c r="D96" s="430"/>
      <c r="E96" s="430"/>
      <c r="F96" s="431"/>
      <c r="G96" s="431"/>
      <c r="H96" s="431"/>
      <c r="I96" s="431"/>
      <c r="J96" s="431"/>
    </row>
    <row r="97" spans="1:10" ht="16.5">
      <c r="A97" s="454"/>
      <c r="B97" s="455"/>
      <c r="C97" s="430"/>
      <c r="D97" s="430"/>
      <c r="E97" s="430"/>
      <c r="F97" s="431"/>
      <c r="G97" s="431"/>
      <c r="H97" s="431"/>
      <c r="I97" s="431"/>
      <c r="J97" s="431"/>
    </row>
    <row r="98" spans="1:10" ht="16.5">
      <c r="A98" s="454"/>
      <c r="B98" s="455"/>
      <c r="C98" s="430"/>
      <c r="D98" s="430"/>
      <c r="E98" s="430"/>
      <c r="F98" s="431"/>
      <c r="G98" s="431"/>
      <c r="H98" s="431"/>
      <c r="I98" s="431"/>
      <c r="J98" s="431"/>
    </row>
    <row r="99" spans="1:10" ht="16.5">
      <c r="A99" s="454"/>
      <c r="B99" s="455"/>
      <c r="C99" s="430"/>
      <c r="D99" s="430"/>
      <c r="E99" s="430"/>
      <c r="F99" s="431"/>
      <c r="G99" s="431"/>
      <c r="H99" s="431"/>
      <c r="I99" s="431"/>
      <c r="J99" s="431"/>
    </row>
    <row r="100" spans="1:10" ht="16.5">
      <c r="A100" s="454"/>
      <c r="B100" s="455"/>
      <c r="C100" s="430"/>
      <c r="D100" s="430"/>
      <c r="E100" s="430"/>
      <c r="F100" s="431"/>
      <c r="G100" s="431"/>
      <c r="H100" s="431"/>
      <c r="I100" s="431"/>
      <c r="J100" s="431"/>
    </row>
    <row r="101" spans="1:10" ht="16.5">
      <c r="A101" s="454"/>
      <c r="B101" s="455"/>
      <c r="C101" s="430"/>
      <c r="D101" s="430"/>
      <c r="E101" s="430"/>
      <c r="F101" s="431"/>
      <c r="G101" s="431"/>
      <c r="H101" s="431"/>
      <c r="I101" s="431"/>
      <c r="J101" s="431"/>
    </row>
    <row r="102" spans="1:10" ht="16.5">
      <c r="A102" s="454"/>
      <c r="B102" s="455"/>
      <c r="C102" s="430"/>
      <c r="D102" s="430"/>
      <c r="E102" s="430"/>
      <c r="F102" s="431"/>
      <c r="G102" s="431"/>
      <c r="H102" s="431"/>
      <c r="I102" s="431"/>
      <c r="J102" s="431"/>
    </row>
    <row r="103" spans="1:10" ht="16.5">
      <c r="A103" s="454"/>
      <c r="B103" s="455"/>
      <c r="C103" s="430"/>
      <c r="D103" s="430"/>
      <c r="E103" s="430"/>
      <c r="F103" s="431"/>
      <c r="G103" s="431"/>
      <c r="H103" s="431"/>
      <c r="I103" s="431"/>
      <c r="J103" s="431"/>
    </row>
    <row r="104" spans="1:10" ht="16.5">
      <c r="A104" s="454"/>
      <c r="B104" s="455"/>
      <c r="C104" s="430"/>
      <c r="D104" s="430"/>
      <c r="E104" s="430"/>
      <c r="F104" s="431"/>
      <c r="G104" s="431"/>
      <c r="H104" s="431"/>
      <c r="I104" s="431"/>
      <c r="J104" s="431"/>
    </row>
    <row r="105" spans="1:10" ht="16.5">
      <c r="A105" s="454"/>
      <c r="B105" s="455"/>
      <c r="C105" s="430"/>
      <c r="D105" s="430"/>
      <c r="E105" s="430"/>
      <c r="F105" s="431"/>
      <c r="G105" s="431"/>
      <c r="H105" s="431"/>
      <c r="I105" s="431"/>
      <c r="J105" s="431"/>
    </row>
    <row r="106" spans="1:10" ht="16.5">
      <c r="A106" s="454"/>
      <c r="B106" s="455"/>
      <c r="C106" s="430"/>
      <c r="D106" s="430"/>
      <c r="E106" s="430"/>
      <c r="F106" s="431"/>
      <c r="G106" s="431"/>
      <c r="H106" s="431"/>
      <c r="I106" s="431"/>
      <c r="J106" s="431"/>
    </row>
    <row r="107" spans="1:10" ht="16.5">
      <c r="A107" s="454"/>
      <c r="B107" s="455"/>
      <c r="C107" s="430"/>
      <c r="D107" s="430"/>
      <c r="E107" s="430"/>
      <c r="F107" s="431"/>
      <c r="G107" s="431"/>
      <c r="H107" s="431"/>
      <c r="I107" s="431"/>
      <c r="J107" s="431"/>
    </row>
    <row r="108" spans="1:10" ht="16.5">
      <c r="A108" s="454"/>
      <c r="B108" s="455"/>
      <c r="C108" s="430"/>
      <c r="D108" s="430"/>
      <c r="E108" s="430"/>
      <c r="F108" s="431"/>
      <c r="G108" s="431"/>
      <c r="H108" s="431"/>
      <c r="I108" s="431"/>
      <c r="J108" s="431"/>
    </row>
    <row r="109" spans="1:10" ht="16.5">
      <c r="A109" s="454"/>
      <c r="B109" s="455"/>
      <c r="C109" s="430"/>
      <c r="D109" s="430"/>
      <c r="E109" s="430"/>
      <c r="F109" s="431"/>
      <c r="G109" s="431"/>
      <c r="H109" s="431"/>
      <c r="I109" s="431"/>
      <c r="J109" s="431"/>
    </row>
    <row r="110" spans="1:10" ht="16.5">
      <c r="A110" s="454"/>
      <c r="B110" s="455"/>
      <c r="C110" s="430"/>
      <c r="D110" s="430"/>
      <c r="E110" s="430"/>
      <c r="F110" s="431"/>
      <c r="G110" s="431"/>
      <c r="H110" s="431"/>
      <c r="I110" s="431"/>
      <c r="J110" s="431"/>
    </row>
    <row r="111" spans="1:10" ht="16.5">
      <c r="A111" s="454"/>
      <c r="B111" s="455"/>
      <c r="C111" s="430"/>
      <c r="D111" s="430"/>
      <c r="E111" s="430"/>
      <c r="F111" s="431"/>
      <c r="G111" s="431"/>
      <c r="H111" s="431"/>
      <c r="I111" s="431"/>
      <c r="J111" s="431"/>
    </row>
    <row r="112" spans="1:10" ht="16.5">
      <c r="A112" s="454"/>
      <c r="B112" s="455"/>
      <c r="C112" s="430"/>
      <c r="D112" s="430"/>
      <c r="E112" s="430"/>
      <c r="F112" s="431"/>
      <c r="G112" s="431"/>
      <c r="H112" s="431"/>
      <c r="I112" s="431"/>
      <c r="J112" s="431"/>
    </row>
    <row r="113" spans="1:10" ht="16.5">
      <c r="A113" s="454"/>
      <c r="B113" s="455"/>
      <c r="C113" s="430"/>
      <c r="D113" s="430"/>
      <c r="E113" s="430"/>
      <c r="F113" s="431"/>
      <c r="G113" s="431"/>
      <c r="H113" s="431"/>
      <c r="I113" s="431"/>
      <c r="J113" s="431"/>
    </row>
    <row r="114" spans="1:10" ht="16.5">
      <c r="A114" s="454"/>
      <c r="B114" s="455"/>
      <c r="C114" s="430"/>
      <c r="D114" s="430"/>
      <c r="E114" s="430"/>
      <c r="F114" s="431"/>
      <c r="G114" s="431"/>
      <c r="H114" s="431"/>
      <c r="I114" s="431"/>
      <c r="J114" s="431"/>
    </row>
    <row r="115" spans="1:10" ht="16.5">
      <c r="A115" s="454"/>
      <c r="B115" s="455"/>
      <c r="C115" s="430"/>
      <c r="D115" s="430"/>
      <c r="E115" s="430"/>
      <c r="F115" s="431"/>
      <c r="G115" s="431"/>
      <c r="H115" s="431"/>
      <c r="I115" s="431"/>
      <c r="J115" s="431"/>
    </row>
    <row r="116" spans="1:10" ht="16.5">
      <c r="A116" s="454"/>
      <c r="B116" s="455"/>
      <c r="C116" s="430"/>
      <c r="D116" s="430"/>
      <c r="E116" s="430"/>
      <c r="F116" s="431"/>
      <c r="G116" s="431"/>
      <c r="H116" s="431"/>
      <c r="I116" s="431"/>
      <c r="J116" s="431"/>
    </row>
    <row r="117" spans="1:10" ht="16.5">
      <c r="A117" s="454"/>
      <c r="B117" s="455"/>
      <c r="C117" s="430"/>
      <c r="D117" s="430"/>
      <c r="E117" s="430"/>
      <c r="F117" s="431"/>
      <c r="G117" s="431"/>
      <c r="H117" s="431"/>
      <c r="I117" s="431"/>
      <c r="J117" s="431"/>
    </row>
    <row r="118" spans="1:10" ht="16.5">
      <c r="A118" s="454"/>
      <c r="B118" s="455"/>
      <c r="C118" s="430"/>
      <c r="D118" s="430"/>
      <c r="E118" s="430"/>
      <c r="F118" s="431"/>
      <c r="G118" s="431"/>
      <c r="H118" s="431"/>
      <c r="I118" s="431"/>
      <c r="J118" s="431"/>
    </row>
    <row r="119" spans="1:10" ht="16.5">
      <c r="A119" s="454"/>
      <c r="B119" s="455"/>
      <c r="C119" s="430"/>
      <c r="D119" s="430"/>
      <c r="E119" s="430"/>
      <c r="F119" s="431"/>
      <c r="G119" s="431"/>
      <c r="H119" s="431"/>
      <c r="I119" s="431"/>
      <c r="J119" s="431"/>
    </row>
    <row r="120" spans="1:10" ht="16.5">
      <c r="A120" s="454"/>
      <c r="B120" s="455"/>
      <c r="C120" s="430"/>
      <c r="D120" s="430"/>
      <c r="E120" s="430"/>
      <c r="F120" s="431"/>
      <c r="G120" s="431"/>
      <c r="H120" s="431"/>
      <c r="I120" s="431"/>
      <c r="J120" s="431"/>
    </row>
    <row r="121" spans="1:10" ht="16.5">
      <c r="A121" s="454"/>
      <c r="B121" s="455"/>
      <c r="C121" s="430"/>
      <c r="D121" s="430"/>
      <c r="E121" s="430"/>
      <c r="F121" s="431"/>
      <c r="G121" s="431"/>
      <c r="H121" s="431"/>
      <c r="I121" s="431"/>
      <c r="J121" s="431"/>
    </row>
    <row r="122" spans="1:10" ht="16.5">
      <c r="A122" s="454"/>
      <c r="B122" s="455"/>
      <c r="C122" s="430"/>
      <c r="D122" s="430"/>
      <c r="E122" s="430"/>
      <c r="F122" s="431"/>
      <c r="G122" s="431"/>
      <c r="H122" s="431"/>
      <c r="I122" s="431"/>
      <c r="J122" s="431"/>
    </row>
    <row r="123" spans="1:10" ht="16.5">
      <c r="A123" s="454"/>
      <c r="B123" s="455"/>
      <c r="C123" s="430"/>
      <c r="D123" s="430"/>
      <c r="E123" s="430"/>
      <c r="F123" s="431"/>
      <c r="G123" s="431"/>
      <c r="H123" s="431"/>
      <c r="I123" s="431"/>
      <c r="J123" s="431"/>
    </row>
    <row r="124" spans="1:10" ht="16.5">
      <c r="A124" s="454"/>
      <c r="B124" s="455"/>
      <c r="C124" s="430"/>
      <c r="D124" s="430"/>
      <c r="E124" s="430"/>
      <c r="F124" s="431"/>
      <c r="G124" s="431"/>
      <c r="H124" s="431"/>
      <c r="I124" s="431"/>
      <c r="J124" s="431"/>
    </row>
    <row r="125" spans="1:10" ht="16.5">
      <c r="A125" s="454"/>
      <c r="B125" s="455"/>
      <c r="C125" s="430"/>
      <c r="D125" s="430"/>
      <c r="E125" s="430"/>
      <c r="F125" s="431"/>
      <c r="G125" s="431"/>
      <c r="H125" s="431"/>
      <c r="I125" s="431"/>
      <c r="J125" s="431"/>
    </row>
    <row r="126" spans="1:10" ht="16.5">
      <c r="A126" s="454"/>
      <c r="B126" s="455"/>
      <c r="C126" s="430"/>
      <c r="D126" s="430"/>
      <c r="E126" s="430"/>
      <c r="F126" s="431"/>
      <c r="G126" s="431"/>
      <c r="H126" s="431"/>
      <c r="I126" s="431"/>
      <c r="J126" s="431"/>
    </row>
    <row r="127" spans="1:10" ht="16.5">
      <c r="A127" s="454"/>
      <c r="B127" s="455"/>
      <c r="C127" s="430"/>
      <c r="D127" s="430"/>
      <c r="E127" s="430"/>
      <c r="F127" s="431"/>
      <c r="G127" s="431"/>
      <c r="H127" s="431"/>
      <c r="I127" s="431"/>
      <c r="J127" s="431"/>
    </row>
    <row r="128" spans="1:10" ht="16.5">
      <c r="A128" s="454"/>
      <c r="B128" s="455"/>
      <c r="C128" s="430"/>
      <c r="D128" s="430"/>
      <c r="E128" s="430"/>
      <c r="F128" s="431"/>
      <c r="G128" s="431"/>
      <c r="H128" s="431"/>
      <c r="I128" s="431"/>
      <c r="J128" s="431"/>
    </row>
    <row r="129" spans="1:10" ht="16.5">
      <c r="A129" s="454"/>
      <c r="B129" s="455"/>
      <c r="C129" s="430"/>
      <c r="D129" s="430"/>
      <c r="E129" s="430"/>
      <c r="F129" s="431"/>
      <c r="G129" s="431"/>
      <c r="H129" s="431"/>
      <c r="I129" s="431"/>
      <c r="J129" s="431"/>
    </row>
    <row r="130" spans="1:10" ht="16.5">
      <c r="A130" s="454"/>
      <c r="B130" s="455"/>
      <c r="C130" s="430"/>
      <c r="D130" s="430"/>
      <c r="E130" s="430"/>
      <c r="F130" s="431"/>
      <c r="G130" s="431"/>
      <c r="H130" s="431"/>
      <c r="I130" s="431"/>
      <c r="J130" s="431"/>
    </row>
    <row r="131" spans="1:10" ht="16.5">
      <c r="A131" s="454"/>
      <c r="B131" s="455"/>
      <c r="C131" s="430"/>
      <c r="D131" s="430"/>
      <c r="E131" s="430"/>
      <c r="F131" s="431"/>
      <c r="G131" s="431"/>
      <c r="H131" s="431"/>
      <c r="I131" s="431"/>
      <c r="J131" s="431"/>
    </row>
    <row r="132" spans="1:10" ht="16.5">
      <c r="A132" s="454"/>
      <c r="B132" s="455"/>
      <c r="C132" s="430"/>
      <c r="D132" s="430"/>
      <c r="E132" s="430"/>
      <c r="F132" s="431"/>
      <c r="G132" s="431"/>
      <c r="H132" s="431"/>
      <c r="I132" s="431"/>
      <c r="J132" s="431"/>
    </row>
    <row r="133" spans="1:10" ht="16.5">
      <c r="A133" s="454"/>
      <c r="B133" s="455"/>
      <c r="C133" s="430"/>
      <c r="D133" s="430"/>
      <c r="E133" s="430"/>
      <c r="F133" s="431"/>
      <c r="G133" s="431"/>
      <c r="H133" s="431"/>
      <c r="I133" s="431"/>
      <c r="J133" s="431"/>
    </row>
    <row r="134" spans="1:10" ht="16.5">
      <c r="A134" s="454"/>
      <c r="B134" s="455"/>
      <c r="C134" s="430"/>
      <c r="D134" s="430"/>
      <c r="E134" s="430"/>
      <c r="F134" s="431"/>
      <c r="G134" s="431"/>
      <c r="H134" s="431"/>
      <c r="I134" s="431"/>
      <c r="J134" s="431"/>
    </row>
    <row r="135" spans="1:10" ht="16.5">
      <c r="A135" s="454"/>
      <c r="B135" s="455"/>
      <c r="C135" s="430"/>
      <c r="D135" s="430"/>
      <c r="E135" s="430"/>
      <c r="F135" s="431"/>
      <c r="G135" s="431"/>
      <c r="H135" s="431"/>
      <c r="I135" s="431"/>
      <c r="J135" s="431"/>
    </row>
    <row r="136" spans="1:10" ht="16.5">
      <c r="A136" s="454"/>
      <c r="B136" s="455"/>
      <c r="C136" s="430"/>
      <c r="D136" s="430"/>
      <c r="E136" s="430"/>
      <c r="F136" s="431"/>
      <c r="G136" s="431"/>
      <c r="H136" s="431"/>
      <c r="I136" s="431"/>
      <c r="J136" s="431"/>
    </row>
    <row r="137" spans="1:10" ht="16.5">
      <c r="A137" s="454"/>
      <c r="B137" s="455"/>
      <c r="C137" s="430"/>
      <c r="D137" s="430"/>
      <c r="E137" s="430"/>
      <c r="F137" s="431"/>
      <c r="G137" s="431"/>
      <c r="H137" s="431"/>
      <c r="I137" s="431"/>
      <c r="J137" s="431"/>
    </row>
    <row r="138" spans="1:10" ht="16.5">
      <c r="A138" s="454"/>
      <c r="B138" s="455"/>
      <c r="C138" s="430"/>
      <c r="D138" s="430"/>
      <c r="E138" s="430"/>
      <c r="F138" s="431"/>
      <c r="G138" s="431"/>
      <c r="H138" s="431"/>
      <c r="I138" s="431"/>
      <c r="J138" s="431"/>
    </row>
    <row r="139" spans="1:10" ht="16.5">
      <c r="A139" s="454"/>
      <c r="B139" s="455"/>
      <c r="C139" s="430"/>
      <c r="D139" s="430"/>
      <c r="E139" s="430"/>
      <c r="F139" s="431"/>
      <c r="G139" s="431"/>
      <c r="H139" s="431"/>
      <c r="I139" s="431"/>
      <c r="J139" s="431"/>
    </row>
    <row r="140" spans="1:10" ht="16.5">
      <c r="A140" s="454"/>
      <c r="B140" s="455"/>
      <c r="C140" s="430"/>
      <c r="D140" s="430"/>
      <c r="E140" s="430"/>
      <c r="F140" s="431"/>
      <c r="G140" s="431"/>
      <c r="H140" s="431"/>
      <c r="I140" s="431"/>
      <c r="J140" s="431"/>
    </row>
    <row r="141" spans="1:10" ht="16.5">
      <c r="A141" s="454"/>
      <c r="B141" s="455"/>
      <c r="C141" s="430"/>
      <c r="D141" s="430"/>
      <c r="E141" s="430"/>
      <c r="F141" s="431"/>
      <c r="G141" s="431"/>
      <c r="H141" s="431"/>
      <c r="I141" s="431"/>
      <c r="J141" s="431"/>
    </row>
    <row r="142" spans="1:10" ht="16.5">
      <c r="A142" s="454"/>
      <c r="B142" s="455"/>
      <c r="C142" s="430"/>
      <c r="D142" s="430"/>
      <c r="E142" s="430"/>
      <c r="F142" s="431"/>
      <c r="G142" s="431"/>
      <c r="H142" s="431"/>
      <c r="I142" s="431"/>
      <c r="J142" s="431"/>
    </row>
    <row r="143" spans="1:10" ht="16.5">
      <c r="A143" s="454"/>
      <c r="B143" s="455"/>
      <c r="C143" s="430"/>
      <c r="D143" s="430"/>
      <c r="E143" s="430"/>
      <c r="F143" s="431"/>
      <c r="G143" s="431"/>
      <c r="H143" s="431"/>
      <c r="I143" s="431"/>
      <c r="J143" s="431"/>
    </row>
    <row r="144" spans="1:10" ht="16.5">
      <c r="A144" s="454"/>
      <c r="B144" s="455"/>
      <c r="C144" s="430"/>
      <c r="D144" s="430"/>
      <c r="E144" s="430"/>
      <c r="F144" s="431"/>
      <c r="G144" s="431"/>
      <c r="H144" s="431"/>
      <c r="I144" s="431"/>
      <c r="J144" s="431"/>
    </row>
    <row r="145" spans="1:10" ht="16.5">
      <c r="A145" s="454"/>
      <c r="B145" s="455"/>
      <c r="C145" s="430"/>
      <c r="D145" s="430"/>
      <c r="E145" s="430"/>
      <c r="F145" s="431"/>
      <c r="G145" s="431"/>
      <c r="H145" s="431"/>
      <c r="I145" s="431"/>
      <c r="J145" s="431"/>
    </row>
    <row r="146" spans="1:10" ht="16.5">
      <c r="A146" s="454"/>
      <c r="B146" s="455"/>
      <c r="C146" s="430"/>
      <c r="D146" s="430"/>
      <c r="E146" s="430"/>
      <c r="F146" s="431"/>
      <c r="G146" s="431"/>
      <c r="H146" s="431"/>
      <c r="I146" s="431"/>
      <c r="J146" s="431"/>
    </row>
    <row r="147" spans="1:10" ht="16.5">
      <c r="A147" s="454"/>
      <c r="B147" s="455"/>
      <c r="C147" s="430"/>
      <c r="D147" s="430"/>
      <c r="E147" s="430"/>
      <c r="F147" s="431"/>
      <c r="G147" s="431"/>
      <c r="H147" s="431"/>
      <c r="I147" s="431"/>
      <c r="J147" s="431"/>
    </row>
    <row r="148" spans="1:10" ht="16.5">
      <c r="A148" s="454"/>
      <c r="B148" s="455"/>
      <c r="C148" s="430"/>
      <c r="D148" s="430"/>
      <c r="E148" s="430"/>
      <c r="F148" s="431"/>
      <c r="G148" s="431"/>
      <c r="H148" s="431"/>
      <c r="I148" s="431"/>
      <c r="J148" s="431"/>
    </row>
    <row r="149" spans="1:10" ht="16.5">
      <c r="A149" s="454"/>
      <c r="B149" s="455"/>
      <c r="C149" s="430"/>
      <c r="D149" s="430"/>
      <c r="E149" s="430"/>
      <c r="F149" s="431"/>
      <c r="G149" s="431"/>
      <c r="H149" s="431"/>
      <c r="I149" s="431"/>
      <c r="J149" s="431"/>
    </row>
    <row r="150" spans="1:10" ht="16.5">
      <c r="A150" s="454"/>
      <c r="B150" s="455"/>
      <c r="C150" s="430"/>
      <c r="D150" s="430"/>
      <c r="E150" s="430"/>
      <c r="F150" s="431"/>
      <c r="G150" s="431"/>
      <c r="H150" s="431"/>
      <c r="I150" s="431"/>
      <c r="J150" s="431"/>
    </row>
    <row r="151" spans="1:10" ht="16.5">
      <c r="A151" s="454"/>
      <c r="B151" s="455"/>
      <c r="C151" s="430"/>
      <c r="D151" s="430"/>
      <c r="E151" s="430"/>
      <c r="F151" s="431"/>
      <c r="G151" s="431"/>
      <c r="H151" s="431"/>
      <c r="I151" s="431"/>
      <c r="J151" s="431"/>
    </row>
    <row r="152" spans="1:10" ht="16.5">
      <c r="A152" s="454"/>
      <c r="B152" s="455"/>
      <c r="C152" s="430"/>
      <c r="D152" s="430"/>
      <c r="E152" s="430"/>
      <c r="F152" s="431"/>
      <c r="G152" s="431"/>
      <c r="H152" s="431"/>
      <c r="I152" s="431"/>
      <c r="J152" s="431"/>
    </row>
    <row r="153" spans="1:10" ht="16.5">
      <c r="A153" s="454"/>
      <c r="B153" s="455"/>
      <c r="C153" s="430"/>
      <c r="D153" s="430"/>
      <c r="E153" s="430"/>
      <c r="F153" s="431"/>
      <c r="G153" s="431"/>
      <c r="H153" s="431"/>
      <c r="I153" s="431"/>
      <c r="J153" s="431"/>
    </row>
    <row r="154" spans="1:10" ht="16.5">
      <c r="A154" s="454"/>
      <c r="B154" s="455"/>
      <c r="C154" s="430"/>
      <c r="D154" s="430"/>
      <c r="E154" s="430"/>
      <c r="F154" s="431"/>
      <c r="G154" s="431"/>
      <c r="H154" s="431"/>
      <c r="I154" s="431"/>
      <c r="J154" s="431"/>
    </row>
    <row r="155" spans="1:10" ht="16.5">
      <c r="A155" s="454"/>
      <c r="B155" s="455"/>
      <c r="C155" s="430"/>
      <c r="D155" s="430"/>
      <c r="E155" s="430"/>
      <c r="F155" s="431"/>
      <c r="G155" s="431"/>
      <c r="H155" s="431"/>
      <c r="I155" s="431"/>
      <c r="J155" s="431"/>
    </row>
    <row r="156" spans="1:10" ht="16.5">
      <c r="A156" s="454"/>
      <c r="B156" s="455"/>
      <c r="C156" s="430"/>
      <c r="D156" s="430"/>
      <c r="E156" s="430"/>
      <c r="F156" s="431"/>
      <c r="G156" s="431"/>
      <c r="H156" s="431"/>
      <c r="I156" s="431"/>
      <c r="J156" s="431"/>
    </row>
    <row r="157" spans="1:10" ht="16.5">
      <c r="A157" s="454"/>
      <c r="B157" s="455"/>
      <c r="C157" s="430"/>
      <c r="D157" s="430"/>
      <c r="E157" s="430"/>
      <c r="F157" s="431"/>
      <c r="G157" s="431"/>
      <c r="H157" s="431"/>
      <c r="I157" s="431"/>
      <c r="J157" s="431"/>
    </row>
    <row r="158" spans="1:10" ht="16.5">
      <c r="A158" s="454"/>
      <c r="B158" s="455"/>
      <c r="C158" s="430"/>
      <c r="D158" s="430"/>
      <c r="E158" s="430"/>
      <c r="F158" s="431"/>
      <c r="G158" s="431"/>
      <c r="H158" s="431"/>
      <c r="I158" s="431"/>
      <c r="J158" s="431"/>
    </row>
    <row r="159" spans="1:10" ht="16.5">
      <c r="A159" s="454"/>
      <c r="B159" s="455"/>
      <c r="C159" s="430"/>
      <c r="D159" s="430"/>
      <c r="E159" s="430"/>
      <c r="F159" s="431"/>
      <c r="G159" s="431"/>
      <c r="H159" s="431"/>
      <c r="I159" s="431"/>
      <c r="J159" s="431"/>
    </row>
    <row r="160" spans="1:10" ht="16.5">
      <c r="A160" s="454"/>
      <c r="B160" s="455"/>
      <c r="C160" s="430"/>
      <c r="D160" s="430"/>
      <c r="E160" s="430"/>
      <c r="F160" s="431"/>
      <c r="G160" s="431"/>
      <c r="H160" s="431"/>
      <c r="I160" s="431"/>
      <c r="J160" s="431"/>
    </row>
    <row r="161" spans="1:10" ht="16.5">
      <c r="A161" s="454"/>
      <c r="B161" s="455"/>
      <c r="C161" s="430"/>
      <c r="D161" s="430"/>
      <c r="E161" s="430"/>
      <c r="F161" s="431"/>
      <c r="G161" s="431"/>
      <c r="H161" s="431"/>
      <c r="I161" s="431"/>
      <c r="J161" s="431"/>
    </row>
    <row r="162" spans="1:10" ht="16.5">
      <c r="A162" s="454"/>
      <c r="B162" s="455"/>
      <c r="C162" s="430"/>
      <c r="D162" s="430"/>
      <c r="E162" s="430"/>
      <c r="F162" s="431"/>
      <c r="G162" s="431"/>
      <c r="H162" s="431"/>
      <c r="I162" s="431"/>
      <c r="J162" s="431"/>
    </row>
    <row r="163" spans="1:10" ht="16.5">
      <c r="A163" s="454"/>
      <c r="B163" s="455"/>
      <c r="C163" s="430"/>
      <c r="D163" s="430"/>
      <c r="E163" s="430"/>
      <c r="F163" s="431"/>
      <c r="G163" s="431"/>
      <c r="H163" s="431"/>
      <c r="I163" s="431"/>
      <c r="J163" s="431"/>
    </row>
    <row r="164" spans="1:10" ht="16.5">
      <c r="A164" s="454"/>
      <c r="B164" s="455"/>
      <c r="C164" s="430"/>
      <c r="D164" s="430"/>
      <c r="E164" s="430"/>
      <c r="F164" s="431"/>
      <c r="G164" s="431"/>
      <c r="H164" s="431"/>
      <c r="I164" s="431"/>
      <c r="J164" s="431"/>
    </row>
    <row r="165" spans="1:10" ht="16.5">
      <c r="A165" s="454"/>
      <c r="B165" s="455"/>
      <c r="C165" s="430"/>
      <c r="D165" s="430"/>
      <c r="E165" s="430"/>
      <c r="F165" s="431"/>
      <c r="G165" s="431"/>
      <c r="H165" s="431"/>
      <c r="I165" s="431"/>
      <c r="J165" s="431"/>
    </row>
    <row r="166" spans="1:10" ht="16.5">
      <c r="A166" s="454"/>
      <c r="B166" s="455"/>
      <c r="C166" s="430"/>
      <c r="D166" s="430"/>
      <c r="E166" s="430"/>
      <c r="F166" s="431"/>
      <c r="G166" s="431"/>
      <c r="H166" s="431"/>
      <c r="I166" s="431"/>
      <c r="J166" s="431"/>
    </row>
    <row r="167" spans="1:10" ht="16.5">
      <c r="A167" s="454"/>
      <c r="B167" s="455"/>
      <c r="C167" s="430"/>
      <c r="D167" s="430"/>
      <c r="E167" s="430"/>
      <c r="F167" s="431"/>
      <c r="G167" s="431"/>
      <c r="H167" s="431"/>
      <c r="I167" s="431"/>
      <c r="J167" s="431"/>
    </row>
    <row r="168" spans="1:10" ht="16.5">
      <c r="A168" s="454"/>
      <c r="B168" s="455"/>
      <c r="C168" s="430"/>
      <c r="D168" s="430"/>
      <c r="E168" s="430"/>
      <c r="F168" s="431"/>
      <c r="G168" s="431"/>
      <c r="H168" s="431"/>
      <c r="I168" s="431"/>
      <c r="J168" s="431"/>
    </row>
    <row r="169" spans="1:10" ht="16.5">
      <c r="A169" s="454"/>
      <c r="B169" s="455"/>
      <c r="C169" s="430"/>
      <c r="D169" s="430"/>
      <c r="E169" s="430"/>
      <c r="F169" s="431"/>
      <c r="G169" s="431"/>
      <c r="H169" s="431"/>
      <c r="I169" s="431"/>
      <c r="J169" s="431"/>
    </row>
    <row r="170" spans="1:10" ht="16.5">
      <c r="A170" s="454"/>
      <c r="B170" s="455"/>
      <c r="C170" s="430"/>
      <c r="D170" s="430"/>
      <c r="E170" s="430"/>
      <c r="F170" s="431"/>
      <c r="G170" s="431"/>
      <c r="H170" s="431"/>
      <c r="I170" s="431"/>
      <c r="J170" s="431"/>
    </row>
    <row r="171" spans="1:10" ht="16.5">
      <c r="A171" s="454"/>
      <c r="B171" s="455"/>
      <c r="C171" s="430"/>
      <c r="D171" s="430"/>
      <c r="E171" s="430"/>
      <c r="F171" s="431"/>
      <c r="G171" s="431"/>
      <c r="H171" s="431"/>
      <c r="I171" s="431"/>
      <c r="J171" s="431"/>
    </row>
    <row r="172" spans="1:10" ht="16.5">
      <c r="A172" s="454"/>
      <c r="B172" s="455"/>
      <c r="C172" s="430"/>
      <c r="D172" s="430"/>
      <c r="E172" s="430"/>
      <c r="F172" s="431"/>
      <c r="G172" s="431"/>
      <c r="H172" s="431"/>
      <c r="I172" s="431"/>
      <c r="J172" s="431"/>
    </row>
    <row r="173" spans="1:10" ht="16.5">
      <c r="A173" s="454"/>
      <c r="B173" s="455"/>
      <c r="C173" s="430"/>
      <c r="D173" s="430"/>
      <c r="E173" s="430"/>
      <c r="F173" s="431"/>
      <c r="G173" s="431"/>
      <c r="H173" s="431"/>
      <c r="I173" s="431"/>
      <c r="J173" s="431"/>
    </row>
    <row r="174" spans="1:10" ht="16.5">
      <c r="A174" s="454"/>
      <c r="B174" s="455"/>
      <c r="C174" s="430"/>
      <c r="D174" s="430"/>
      <c r="E174" s="430"/>
      <c r="F174" s="431"/>
      <c r="G174" s="431"/>
      <c r="H174" s="431"/>
      <c r="I174" s="431"/>
      <c r="J174" s="431"/>
    </row>
    <row r="175" spans="1:10" ht="16.5">
      <c r="A175" s="454"/>
      <c r="B175" s="455"/>
      <c r="C175" s="430"/>
      <c r="D175" s="430"/>
      <c r="E175" s="430"/>
      <c r="F175" s="431"/>
      <c r="G175" s="431"/>
      <c r="H175" s="431"/>
      <c r="I175" s="431"/>
      <c r="J175" s="431"/>
    </row>
    <row r="176" spans="1:10" ht="16.5">
      <c r="A176" s="454"/>
      <c r="B176" s="455"/>
      <c r="C176" s="430"/>
      <c r="D176" s="430"/>
      <c r="E176" s="430"/>
      <c r="F176" s="431"/>
      <c r="G176" s="431"/>
      <c r="H176" s="431"/>
      <c r="I176" s="431"/>
      <c r="J176" s="431"/>
    </row>
    <row r="177" spans="1:10" ht="16.5">
      <c r="A177" s="454"/>
      <c r="B177" s="455"/>
      <c r="C177" s="430"/>
      <c r="D177" s="430"/>
      <c r="E177" s="430"/>
      <c r="F177" s="431"/>
      <c r="G177" s="431"/>
      <c r="H177" s="431"/>
      <c r="I177" s="431"/>
      <c r="J177" s="431"/>
    </row>
    <row r="178" spans="1:10" ht="16.5">
      <c r="A178" s="454"/>
      <c r="B178" s="455"/>
      <c r="C178" s="430"/>
      <c r="D178" s="430"/>
      <c r="E178" s="430"/>
      <c r="F178" s="431"/>
      <c r="G178" s="431"/>
      <c r="H178" s="431"/>
      <c r="I178" s="431"/>
      <c r="J178" s="431"/>
    </row>
    <row r="179" spans="1:10" ht="16.5">
      <c r="A179" s="454"/>
      <c r="B179" s="455"/>
      <c r="C179" s="430"/>
      <c r="D179" s="430"/>
      <c r="E179" s="430"/>
      <c r="F179" s="431"/>
      <c r="G179" s="431"/>
      <c r="H179" s="431"/>
      <c r="I179" s="431"/>
      <c r="J179" s="431"/>
    </row>
    <row r="180" spans="1:10" ht="16.5">
      <c r="A180" s="454"/>
      <c r="B180" s="455"/>
      <c r="C180" s="430"/>
      <c r="D180" s="430"/>
      <c r="E180" s="430"/>
      <c r="F180" s="431"/>
      <c r="G180" s="431"/>
      <c r="H180" s="431"/>
      <c r="I180" s="431"/>
      <c r="J180" s="431"/>
    </row>
    <row r="181" spans="1:10" ht="16.5">
      <c r="A181" s="454"/>
      <c r="B181" s="455"/>
      <c r="C181" s="430"/>
      <c r="D181" s="430"/>
      <c r="E181" s="430"/>
      <c r="F181" s="431"/>
      <c r="G181" s="431"/>
      <c r="H181" s="431"/>
      <c r="I181" s="431"/>
      <c r="J181" s="431"/>
    </row>
    <row r="182" spans="1:10" ht="16.5">
      <c r="A182" s="454"/>
      <c r="B182" s="455"/>
      <c r="C182" s="430"/>
      <c r="D182" s="430"/>
      <c r="E182" s="430"/>
      <c r="F182" s="431"/>
      <c r="G182" s="431"/>
      <c r="H182" s="431"/>
      <c r="I182" s="431"/>
      <c r="J182" s="431"/>
    </row>
    <row r="183" spans="1:10" ht="16.5">
      <c r="A183" s="454"/>
      <c r="B183" s="455"/>
      <c r="C183" s="430"/>
      <c r="D183" s="430"/>
      <c r="E183" s="430"/>
      <c r="F183" s="431"/>
      <c r="G183" s="431"/>
      <c r="H183" s="431"/>
      <c r="I183" s="431"/>
      <c r="J183" s="431"/>
    </row>
    <row r="184" spans="1:10" ht="16.5">
      <c r="A184" s="454"/>
      <c r="B184" s="455"/>
      <c r="C184" s="430"/>
      <c r="D184" s="430"/>
      <c r="E184" s="430"/>
      <c r="F184" s="431"/>
      <c r="G184" s="431"/>
      <c r="H184" s="431"/>
      <c r="I184" s="431"/>
      <c r="J184" s="431"/>
    </row>
    <row r="185" spans="1:10" ht="16.5">
      <c r="A185" s="454"/>
      <c r="B185" s="455"/>
      <c r="C185" s="430"/>
      <c r="D185" s="430"/>
      <c r="E185" s="430"/>
      <c r="F185" s="431"/>
      <c r="G185" s="431"/>
      <c r="H185" s="431"/>
      <c r="I185" s="431"/>
      <c r="J185" s="431"/>
    </row>
    <row r="186" spans="1:10" ht="16.5">
      <c r="A186" s="454"/>
      <c r="B186" s="455"/>
      <c r="C186" s="430"/>
      <c r="D186" s="430"/>
      <c r="E186" s="430"/>
      <c r="F186" s="431"/>
      <c r="G186" s="431"/>
      <c r="H186" s="431"/>
      <c r="I186" s="431"/>
      <c r="J186" s="431"/>
    </row>
    <row r="187" spans="1:10" ht="16.5">
      <c r="A187" s="454"/>
      <c r="B187" s="455"/>
      <c r="C187" s="430"/>
      <c r="D187" s="430"/>
      <c r="E187" s="430"/>
      <c r="F187" s="431"/>
      <c r="G187" s="431"/>
      <c r="H187" s="431"/>
      <c r="I187" s="431"/>
      <c r="J187" s="431"/>
    </row>
    <row r="188" spans="1:10" ht="16.5">
      <c r="A188" s="454"/>
      <c r="B188" s="455"/>
      <c r="C188" s="430"/>
      <c r="D188" s="430"/>
      <c r="E188" s="430"/>
      <c r="F188" s="431"/>
      <c r="G188" s="431"/>
      <c r="H188" s="431"/>
      <c r="I188" s="431"/>
      <c r="J188" s="431"/>
    </row>
    <row r="189" spans="1:10" ht="16.5">
      <c r="A189" s="454"/>
      <c r="B189" s="455"/>
      <c r="C189" s="430"/>
      <c r="D189" s="430"/>
      <c r="E189" s="430"/>
      <c r="F189" s="431"/>
      <c r="G189" s="431"/>
      <c r="H189" s="431"/>
      <c r="I189" s="431"/>
      <c r="J189" s="431"/>
    </row>
    <row r="190" spans="1:10" ht="16.5">
      <c r="A190" s="454"/>
      <c r="B190" s="455"/>
      <c r="C190" s="430"/>
      <c r="D190" s="430"/>
      <c r="E190" s="430"/>
      <c r="F190" s="431"/>
      <c r="G190" s="431"/>
      <c r="H190" s="431"/>
      <c r="I190" s="431"/>
      <c r="J190" s="431"/>
    </row>
    <row r="191" spans="1:10" ht="16.5">
      <c r="A191" s="454"/>
      <c r="B191" s="455"/>
      <c r="C191" s="430"/>
      <c r="D191" s="430"/>
      <c r="E191" s="430"/>
      <c r="F191" s="431"/>
      <c r="G191" s="431"/>
      <c r="H191" s="431"/>
      <c r="I191" s="431"/>
      <c r="J191" s="431"/>
    </row>
    <row r="192" spans="1:10" ht="16.5">
      <c r="A192" s="454"/>
      <c r="B192" s="455"/>
      <c r="C192" s="430"/>
      <c r="D192" s="430"/>
      <c r="E192" s="430"/>
      <c r="F192" s="431"/>
      <c r="G192" s="431"/>
      <c r="H192" s="431"/>
      <c r="I192" s="431"/>
      <c r="J192" s="431"/>
    </row>
    <row r="193" spans="1:10" ht="16.5">
      <c r="A193" s="454"/>
      <c r="B193" s="455"/>
      <c r="C193" s="430"/>
      <c r="D193" s="430"/>
      <c r="E193" s="430"/>
      <c r="F193" s="431"/>
      <c r="G193" s="431"/>
      <c r="H193" s="431"/>
      <c r="I193" s="431"/>
      <c r="J193" s="431"/>
    </row>
    <row r="194" spans="1:10" ht="16.5">
      <c r="A194" s="454"/>
      <c r="B194" s="455"/>
      <c r="C194" s="430"/>
      <c r="D194" s="430"/>
      <c r="E194" s="430"/>
      <c r="F194" s="431"/>
      <c r="G194" s="431"/>
      <c r="H194" s="431"/>
      <c r="I194" s="431"/>
      <c r="J194" s="431"/>
    </row>
    <row r="195" spans="1:10" ht="16.5">
      <c r="A195" s="454"/>
      <c r="B195" s="455"/>
      <c r="C195" s="430"/>
      <c r="D195" s="430"/>
      <c r="E195" s="430"/>
      <c r="F195" s="431"/>
      <c r="G195" s="431"/>
      <c r="H195" s="431"/>
      <c r="I195" s="431"/>
      <c r="J195" s="431"/>
    </row>
    <row r="196" spans="1:10" ht="16.5">
      <c r="A196" s="454"/>
      <c r="B196" s="455"/>
      <c r="C196" s="430"/>
      <c r="D196" s="430"/>
      <c r="E196" s="430"/>
      <c r="F196" s="431"/>
      <c r="G196" s="431"/>
      <c r="H196" s="431"/>
      <c r="I196" s="431"/>
      <c r="J196" s="431"/>
    </row>
    <row r="197" spans="1:10" ht="16.5">
      <c r="A197" s="454"/>
      <c r="B197" s="455"/>
      <c r="C197" s="430"/>
      <c r="D197" s="430"/>
      <c r="E197" s="430"/>
      <c r="F197" s="431"/>
      <c r="G197" s="431"/>
      <c r="H197" s="431"/>
      <c r="I197" s="431"/>
      <c r="J197" s="431"/>
    </row>
    <row r="198" spans="1:10" ht="16.5">
      <c r="A198" s="454"/>
      <c r="B198" s="455"/>
      <c r="C198" s="430"/>
      <c r="D198" s="430"/>
      <c r="E198" s="430"/>
      <c r="F198" s="431"/>
      <c r="G198" s="431"/>
      <c r="H198" s="431"/>
      <c r="I198" s="431"/>
      <c r="J198" s="431"/>
    </row>
    <row r="199" spans="1:10" ht="16.5">
      <c r="A199" s="454"/>
      <c r="B199" s="455"/>
      <c r="C199" s="430"/>
      <c r="D199" s="430"/>
      <c r="E199" s="430"/>
      <c r="F199" s="431"/>
      <c r="G199" s="431"/>
      <c r="H199" s="431"/>
      <c r="I199" s="431"/>
      <c r="J199" s="431"/>
    </row>
    <row r="200" spans="1:10" ht="16.5">
      <c r="A200" s="454"/>
      <c r="B200" s="455"/>
      <c r="C200" s="430"/>
      <c r="D200" s="430"/>
      <c r="E200" s="430"/>
      <c r="F200" s="431"/>
      <c r="G200" s="431"/>
      <c r="H200" s="431"/>
      <c r="I200" s="431"/>
      <c r="J200" s="431"/>
    </row>
    <row r="201" spans="1:10" ht="16.5">
      <c r="A201" s="454"/>
      <c r="B201" s="455"/>
      <c r="C201" s="430"/>
      <c r="D201" s="430"/>
      <c r="E201" s="430"/>
      <c r="F201" s="431"/>
      <c r="G201" s="431"/>
      <c r="H201" s="431"/>
      <c r="I201" s="431"/>
      <c r="J201" s="431"/>
    </row>
    <row r="202" spans="1:10" ht="16.5">
      <c r="A202" s="454"/>
      <c r="B202" s="455"/>
      <c r="C202" s="430"/>
      <c r="D202" s="430"/>
      <c r="E202" s="430"/>
      <c r="F202" s="431"/>
      <c r="G202" s="431"/>
      <c r="H202" s="431"/>
      <c r="I202" s="431"/>
      <c r="J202" s="431"/>
    </row>
    <row r="203" spans="1:10" ht="16.5">
      <c r="A203" s="454"/>
      <c r="B203" s="455"/>
      <c r="C203" s="430"/>
      <c r="D203" s="430"/>
      <c r="E203" s="430"/>
      <c r="F203" s="431"/>
      <c r="G203" s="431"/>
      <c r="H203" s="431"/>
      <c r="I203" s="431"/>
      <c r="J203" s="431"/>
    </row>
    <row r="204" spans="1:10" ht="16.5">
      <c r="A204" s="454"/>
      <c r="B204" s="455"/>
      <c r="C204" s="430"/>
      <c r="D204" s="430"/>
      <c r="E204" s="430"/>
      <c r="F204" s="431"/>
      <c r="G204" s="431"/>
      <c r="H204" s="431"/>
      <c r="I204" s="431"/>
      <c r="J204" s="431"/>
    </row>
    <row r="205" spans="1:10" ht="16.5">
      <c r="A205" s="454"/>
      <c r="B205" s="455"/>
      <c r="C205" s="430"/>
      <c r="D205" s="430"/>
      <c r="E205" s="430"/>
      <c r="F205" s="431"/>
      <c r="G205" s="431"/>
      <c r="H205" s="431"/>
      <c r="I205" s="431"/>
      <c r="J205" s="431"/>
    </row>
    <row r="206" spans="1:10" ht="16.5">
      <c r="A206" s="454"/>
      <c r="B206" s="455"/>
      <c r="C206" s="430"/>
      <c r="D206" s="430"/>
      <c r="E206" s="430"/>
      <c r="F206" s="431"/>
      <c r="G206" s="431"/>
      <c r="H206" s="431"/>
      <c r="I206" s="431"/>
      <c r="J206" s="431"/>
    </row>
    <row r="207" spans="1:10" ht="16.5">
      <c r="A207" s="454"/>
      <c r="B207" s="455"/>
      <c r="C207" s="430"/>
      <c r="D207" s="430"/>
      <c r="E207" s="430"/>
      <c r="F207" s="431"/>
      <c r="G207" s="431"/>
      <c r="H207" s="431"/>
      <c r="I207" s="431"/>
      <c r="J207" s="431"/>
    </row>
    <row r="208" spans="1:10" ht="16.5">
      <c r="A208" s="454"/>
      <c r="B208" s="455"/>
      <c r="C208" s="430"/>
      <c r="D208" s="430"/>
      <c r="E208" s="430"/>
      <c r="F208" s="431"/>
      <c r="G208" s="431"/>
      <c r="H208" s="431"/>
      <c r="I208" s="431"/>
      <c r="J208" s="431"/>
    </row>
    <row r="209" spans="1:10" ht="16.5">
      <c r="A209" s="454"/>
      <c r="B209" s="455"/>
      <c r="C209" s="430"/>
      <c r="D209" s="430"/>
      <c r="E209" s="430"/>
      <c r="F209" s="431"/>
      <c r="G209" s="431"/>
      <c r="H209" s="431"/>
      <c r="I209" s="431"/>
      <c r="J209" s="431"/>
    </row>
    <row r="210" spans="1:10" ht="16.5">
      <c r="A210" s="454"/>
      <c r="B210" s="455"/>
      <c r="C210" s="430"/>
      <c r="D210" s="430"/>
      <c r="E210" s="430"/>
      <c r="F210" s="431"/>
      <c r="G210" s="431"/>
      <c r="H210" s="431"/>
      <c r="I210" s="431"/>
      <c r="J210" s="431"/>
    </row>
    <row r="211" spans="1:10" ht="16.5">
      <c r="A211" s="454"/>
      <c r="B211" s="455"/>
      <c r="C211" s="430"/>
      <c r="D211" s="430"/>
      <c r="E211" s="430"/>
      <c r="F211" s="431"/>
      <c r="G211" s="431"/>
      <c r="H211" s="431"/>
      <c r="I211" s="431"/>
      <c r="J211" s="431"/>
    </row>
    <row r="212" spans="1:10" ht="16.5">
      <c r="A212" s="454"/>
      <c r="B212" s="455"/>
      <c r="C212" s="430"/>
      <c r="D212" s="430"/>
      <c r="E212" s="430"/>
      <c r="F212" s="431"/>
      <c r="G212" s="431"/>
      <c r="H212" s="431"/>
      <c r="I212" s="431"/>
      <c r="J212" s="431"/>
    </row>
    <row r="213" spans="1:10" ht="16.5">
      <c r="A213" s="454"/>
      <c r="B213" s="455"/>
      <c r="C213" s="430"/>
      <c r="D213" s="430"/>
      <c r="E213" s="430"/>
      <c r="F213" s="431"/>
      <c r="G213" s="431"/>
      <c r="H213" s="431"/>
      <c r="I213" s="431"/>
      <c r="J213" s="431"/>
    </row>
    <row r="214" spans="1:10" ht="16.5">
      <c r="A214" s="454"/>
      <c r="B214" s="455"/>
      <c r="C214" s="430"/>
      <c r="D214" s="430"/>
      <c r="E214" s="430"/>
      <c r="F214" s="431"/>
      <c r="G214" s="431"/>
      <c r="H214" s="431"/>
      <c r="I214" s="431"/>
      <c r="J214" s="431"/>
    </row>
    <row r="215" spans="1:10" ht="16.5">
      <c r="A215" s="454"/>
      <c r="B215" s="455"/>
      <c r="C215" s="430"/>
      <c r="D215" s="430"/>
      <c r="E215" s="430"/>
      <c r="F215" s="431"/>
      <c r="G215" s="431"/>
      <c r="H215" s="431"/>
      <c r="I215" s="431"/>
      <c r="J215" s="431"/>
    </row>
    <row r="216" spans="1:10" ht="16.5">
      <c r="A216" s="454"/>
      <c r="B216" s="455"/>
      <c r="C216" s="430"/>
      <c r="D216" s="430"/>
      <c r="E216" s="430"/>
      <c r="F216" s="431"/>
      <c r="G216" s="431"/>
      <c r="H216" s="431"/>
      <c r="I216" s="431"/>
      <c r="J216" s="431"/>
    </row>
    <row r="217" spans="1:10" ht="16.5">
      <c r="A217" s="454"/>
      <c r="B217" s="455"/>
      <c r="C217" s="430"/>
      <c r="D217" s="430"/>
      <c r="E217" s="430"/>
      <c r="F217" s="431"/>
      <c r="G217" s="431"/>
      <c r="H217" s="431"/>
      <c r="I217" s="431"/>
      <c r="J217" s="431"/>
    </row>
    <row r="218" spans="1:10" ht="16.5">
      <c r="A218" s="454"/>
      <c r="B218" s="455"/>
      <c r="C218" s="430"/>
      <c r="D218" s="430"/>
      <c r="E218" s="430"/>
      <c r="F218" s="431"/>
      <c r="G218" s="431"/>
      <c r="H218" s="431"/>
      <c r="I218" s="431"/>
      <c r="J218" s="431"/>
    </row>
    <row r="219" spans="1:10" ht="16.5">
      <c r="A219" s="454"/>
      <c r="B219" s="455"/>
      <c r="C219" s="430"/>
      <c r="D219" s="430"/>
      <c r="E219" s="430"/>
      <c r="F219" s="431"/>
      <c r="G219" s="431"/>
      <c r="H219" s="431"/>
      <c r="I219" s="431"/>
      <c r="J219" s="431"/>
    </row>
    <row r="220" spans="1:10" ht="16.5">
      <c r="A220" s="454"/>
      <c r="B220" s="455"/>
      <c r="C220" s="430"/>
      <c r="D220" s="430"/>
      <c r="E220" s="430"/>
      <c r="F220" s="431"/>
      <c r="G220" s="431"/>
      <c r="H220" s="431"/>
      <c r="I220" s="431"/>
      <c r="J220" s="431"/>
    </row>
    <row r="221" spans="1:10" ht="16.5">
      <c r="A221" s="454"/>
      <c r="B221" s="455"/>
      <c r="C221" s="430"/>
      <c r="D221" s="430"/>
      <c r="E221" s="430"/>
      <c r="F221" s="431"/>
      <c r="G221" s="431"/>
      <c r="H221" s="431"/>
      <c r="I221" s="431"/>
      <c r="J221" s="431"/>
    </row>
    <row r="222" spans="1:10" ht="16.5">
      <c r="A222" s="454"/>
      <c r="B222" s="455"/>
      <c r="C222" s="430"/>
      <c r="D222" s="430"/>
      <c r="E222" s="430"/>
      <c r="F222" s="431"/>
      <c r="G222" s="431"/>
      <c r="H222" s="431"/>
      <c r="I222" s="431"/>
      <c r="J222" s="431"/>
    </row>
    <row r="223" spans="1:10" ht="16.5">
      <c r="A223" s="454"/>
      <c r="B223" s="455"/>
      <c r="C223" s="430"/>
      <c r="D223" s="430"/>
      <c r="E223" s="430"/>
      <c r="F223" s="431"/>
      <c r="G223" s="431"/>
      <c r="H223" s="431"/>
      <c r="I223" s="431"/>
      <c r="J223" s="431"/>
    </row>
    <row r="224" spans="1:10" ht="16.5">
      <c r="A224" s="454"/>
      <c r="B224" s="455"/>
      <c r="C224" s="430"/>
      <c r="D224" s="430"/>
      <c r="E224" s="430"/>
      <c r="F224" s="431"/>
      <c r="G224" s="431"/>
      <c r="H224" s="431"/>
      <c r="I224" s="431"/>
      <c r="J224" s="431"/>
    </row>
    <row r="225" spans="1:10" ht="16.5">
      <c r="A225" s="454"/>
      <c r="B225" s="455"/>
      <c r="C225" s="430"/>
      <c r="D225" s="430"/>
      <c r="E225" s="430"/>
      <c r="F225" s="431"/>
      <c r="G225" s="431"/>
      <c r="H225" s="431"/>
      <c r="I225" s="431"/>
      <c r="J225" s="431"/>
    </row>
    <row r="226" spans="1:10" ht="16.5">
      <c r="A226" s="454"/>
      <c r="B226" s="455"/>
      <c r="C226" s="430"/>
      <c r="D226" s="430"/>
      <c r="E226" s="430"/>
      <c r="F226" s="431"/>
      <c r="G226" s="431"/>
      <c r="H226" s="431"/>
      <c r="I226" s="431"/>
      <c r="J226" s="431"/>
    </row>
    <row r="227" spans="1:10" ht="16.5">
      <c r="A227" s="454"/>
      <c r="B227" s="455"/>
      <c r="C227" s="430"/>
      <c r="D227" s="430"/>
      <c r="E227" s="430"/>
      <c r="F227" s="431"/>
      <c r="G227" s="431"/>
      <c r="H227" s="431"/>
      <c r="I227" s="431"/>
      <c r="J227" s="431"/>
    </row>
    <row r="228" spans="1:10" ht="16.5">
      <c r="A228" s="454"/>
      <c r="B228" s="455"/>
      <c r="C228" s="430"/>
      <c r="D228" s="430"/>
      <c r="E228" s="430"/>
      <c r="F228" s="431"/>
      <c r="G228" s="431"/>
      <c r="H228" s="431"/>
      <c r="I228" s="431"/>
      <c r="J228" s="431"/>
    </row>
    <row r="229" spans="1:10" ht="16.5">
      <c r="A229" s="454"/>
      <c r="B229" s="455"/>
      <c r="C229" s="430"/>
      <c r="D229" s="430"/>
      <c r="E229" s="430"/>
      <c r="F229" s="431"/>
      <c r="G229" s="431"/>
      <c r="H229" s="431"/>
      <c r="I229" s="431"/>
      <c r="J229" s="431"/>
    </row>
    <row r="230" spans="1:10" ht="16.5">
      <c r="A230" s="454"/>
      <c r="B230" s="455"/>
      <c r="C230" s="430"/>
      <c r="D230" s="430"/>
      <c r="E230" s="430"/>
      <c r="F230" s="431"/>
      <c r="G230" s="431"/>
      <c r="H230" s="431"/>
      <c r="I230" s="431"/>
      <c r="J230" s="431"/>
    </row>
    <row r="231" spans="1:10" ht="16.5">
      <c r="A231" s="454"/>
      <c r="B231" s="455"/>
      <c r="C231" s="430"/>
      <c r="D231" s="430"/>
      <c r="E231" s="430"/>
      <c r="F231" s="431"/>
      <c r="G231" s="431"/>
      <c r="H231" s="431"/>
      <c r="I231" s="431"/>
      <c r="J231" s="431"/>
    </row>
    <row r="232" spans="1:10" ht="16.5">
      <c r="A232" s="454"/>
      <c r="B232" s="455"/>
      <c r="C232" s="430"/>
      <c r="D232" s="430"/>
      <c r="E232" s="430"/>
      <c r="F232" s="431"/>
      <c r="G232" s="431"/>
      <c r="H232" s="431"/>
      <c r="I232" s="431"/>
      <c r="J232" s="431"/>
    </row>
    <row r="233" spans="1:10" ht="16.5">
      <c r="A233" s="454"/>
      <c r="B233" s="455"/>
      <c r="C233" s="430"/>
      <c r="D233" s="430"/>
      <c r="E233" s="430"/>
      <c r="F233" s="431"/>
      <c r="G233" s="431"/>
      <c r="H233" s="431"/>
      <c r="I233" s="431"/>
      <c r="J233" s="431"/>
    </row>
    <row r="234" spans="1:10" ht="16.5">
      <c r="A234" s="454"/>
      <c r="B234" s="455"/>
      <c r="C234" s="430"/>
      <c r="D234" s="430"/>
      <c r="E234" s="430"/>
      <c r="F234" s="431"/>
      <c r="G234" s="431"/>
      <c r="H234" s="431"/>
      <c r="I234" s="431"/>
      <c r="J234" s="431"/>
    </row>
    <row r="235" spans="1:10" ht="16.5">
      <c r="A235" s="454"/>
      <c r="B235" s="455"/>
      <c r="C235" s="430"/>
      <c r="D235" s="430"/>
      <c r="E235" s="430"/>
      <c r="F235" s="431"/>
      <c r="G235" s="431"/>
      <c r="H235" s="431"/>
      <c r="I235" s="431"/>
      <c r="J235" s="431"/>
    </row>
    <row r="236" spans="1:10" ht="16.5">
      <c r="A236" s="454"/>
      <c r="B236" s="455"/>
      <c r="C236" s="430"/>
      <c r="D236" s="430"/>
      <c r="E236" s="430"/>
      <c r="F236" s="431"/>
      <c r="G236" s="431"/>
      <c r="H236" s="431"/>
      <c r="I236" s="431"/>
      <c r="J236" s="431"/>
    </row>
    <row r="237" spans="1:10" ht="16.5">
      <c r="A237" s="454"/>
      <c r="B237" s="455"/>
      <c r="C237" s="430"/>
      <c r="D237" s="430"/>
      <c r="E237" s="430"/>
      <c r="F237" s="431"/>
      <c r="G237" s="431"/>
      <c r="H237" s="431"/>
      <c r="I237" s="431"/>
      <c r="J237" s="431"/>
    </row>
    <row r="238" spans="1:10" ht="16.5">
      <c r="A238" s="454"/>
      <c r="B238" s="455"/>
      <c r="C238" s="430"/>
      <c r="D238" s="430"/>
      <c r="E238" s="430"/>
      <c r="F238" s="431"/>
      <c r="G238" s="431"/>
      <c r="H238" s="431"/>
      <c r="I238" s="431"/>
      <c r="J238" s="431"/>
    </row>
    <row r="239" spans="1:10" ht="16.5">
      <c r="A239" s="454"/>
      <c r="B239" s="455"/>
      <c r="C239" s="430"/>
      <c r="D239" s="430"/>
      <c r="E239" s="430"/>
      <c r="F239" s="431"/>
      <c r="G239" s="431"/>
      <c r="H239" s="431"/>
      <c r="I239" s="431"/>
      <c r="J239" s="431"/>
    </row>
    <row r="240" spans="1:10" ht="16.5">
      <c r="A240" s="454"/>
      <c r="B240" s="455"/>
      <c r="C240" s="430"/>
      <c r="D240" s="430"/>
      <c r="E240" s="430"/>
      <c r="F240" s="431"/>
      <c r="G240" s="431"/>
      <c r="H240" s="431"/>
      <c r="I240" s="431"/>
      <c r="J240" s="431"/>
    </row>
    <row r="241" spans="1:10" ht="16.5">
      <c r="A241" s="454"/>
      <c r="B241" s="455"/>
      <c r="C241" s="430"/>
      <c r="D241" s="430"/>
      <c r="E241" s="430"/>
      <c r="F241" s="431"/>
      <c r="G241" s="431"/>
      <c r="H241" s="431"/>
      <c r="I241" s="431"/>
      <c r="J241" s="431"/>
    </row>
    <row r="242" spans="1:10" ht="16.5">
      <c r="A242" s="454"/>
      <c r="B242" s="455"/>
      <c r="C242" s="430"/>
      <c r="D242" s="430"/>
      <c r="E242" s="430"/>
      <c r="F242" s="431"/>
      <c r="G242" s="431"/>
      <c r="H242" s="431"/>
      <c r="I242" s="431"/>
      <c r="J242" s="431"/>
    </row>
    <row r="243" spans="1:10" ht="16.5">
      <c r="A243" s="454"/>
      <c r="B243" s="455"/>
      <c r="C243" s="430"/>
      <c r="D243" s="430"/>
      <c r="E243" s="430"/>
      <c r="F243" s="431"/>
      <c r="G243" s="431"/>
      <c r="H243" s="431"/>
      <c r="I243" s="431"/>
      <c r="J243" s="431"/>
    </row>
    <row r="244" spans="1:10" ht="16.5">
      <c r="A244" s="454"/>
      <c r="B244" s="455"/>
      <c r="C244" s="430"/>
      <c r="D244" s="430"/>
      <c r="E244" s="430"/>
      <c r="F244" s="431"/>
      <c r="G244" s="431"/>
      <c r="H244" s="431"/>
      <c r="I244" s="431"/>
      <c r="J244" s="431"/>
    </row>
    <row r="245" spans="1:10" ht="16.5">
      <c r="A245" s="454"/>
      <c r="B245" s="455"/>
      <c r="C245" s="430"/>
      <c r="D245" s="430"/>
      <c r="E245" s="430"/>
      <c r="F245" s="431"/>
      <c r="G245" s="431"/>
      <c r="H245" s="431"/>
      <c r="I245" s="431"/>
      <c r="J245" s="431"/>
    </row>
    <row r="246" spans="1:10" ht="16.5">
      <c r="A246" s="454"/>
      <c r="B246" s="455"/>
      <c r="C246" s="430"/>
      <c r="D246" s="430"/>
      <c r="E246" s="430"/>
      <c r="F246" s="431"/>
      <c r="G246" s="431"/>
      <c r="H246" s="431"/>
      <c r="I246" s="431"/>
      <c r="J246" s="431"/>
    </row>
    <row r="247" spans="1:10" ht="16.5">
      <c r="A247" s="454"/>
      <c r="B247" s="455"/>
      <c r="C247" s="430"/>
      <c r="D247" s="430"/>
      <c r="E247" s="430"/>
      <c r="F247" s="431"/>
      <c r="G247" s="431"/>
      <c r="H247" s="431"/>
      <c r="I247" s="431"/>
      <c r="J247" s="431"/>
    </row>
    <row r="248" spans="1:10" ht="16.5">
      <c r="A248" s="454"/>
      <c r="B248" s="455"/>
      <c r="C248" s="430"/>
      <c r="D248" s="430"/>
      <c r="E248" s="430"/>
      <c r="F248" s="431"/>
      <c r="G248" s="431"/>
      <c r="H248" s="431"/>
      <c r="I248" s="431"/>
      <c r="J248" s="431"/>
    </row>
    <row r="249" spans="1:10" ht="16.5">
      <c r="A249" s="454"/>
      <c r="B249" s="455"/>
      <c r="C249" s="430"/>
      <c r="D249" s="430"/>
      <c r="E249" s="430"/>
      <c r="F249" s="431"/>
      <c r="G249" s="431"/>
      <c r="H249" s="431"/>
      <c r="I249" s="431"/>
      <c r="J249" s="431"/>
    </row>
    <row r="250" spans="1:10" ht="16.5">
      <c r="A250" s="454"/>
      <c r="B250" s="455"/>
      <c r="C250" s="430"/>
      <c r="D250" s="430"/>
      <c r="E250" s="430"/>
      <c r="F250" s="431"/>
      <c r="G250" s="431"/>
      <c r="H250" s="431"/>
      <c r="I250" s="431"/>
      <c r="J250" s="431"/>
    </row>
    <row r="251" spans="1:10" ht="16.5">
      <c r="A251" s="454"/>
      <c r="B251" s="455"/>
      <c r="C251" s="430"/>
      <c r="D251" s="430"/>
      <c r="E251" s="430"/>
      <c r="F251" s="431"/>
      <c r="G251" s="431"/>
      <c r="H251" s="431"/>
      <c r="I251" s="431"/>
      <c r="J251" s="431"/>
    </row>
    <row r="252" spans="1:10" ht="16.5">
      <c r="A252" s="454"/>
      <c r="B252" s="455"/>
      <c r="C252" s="430"/>
      <c r="D252" s="430"/>
      <c r="E252" s="430"/>
      <c r="F252" s="431"/>
      <c r="G252" s="431"/>
      <c r="H252" s="431"/>
      <c r="I252" s="431"/>
      <c r="J252" s="431"/>
    </row>
  </sheetData>
  <sheetProtection/>
  <mergeCells count="39">
    <mergeCell ref="A18:A19"/>
    <mergeCell ref="B18:B19"/>
    <mergeCell ref="C18:C19"/>
    <mergeCell ref="D18:D19"/>
    <mergeCell ref="I18:I19"/>
    <mergeCell ref="E18:E19"/>
    <mergeCell ref="F18:F19"/>
    <mergeCell ref="G18:G19"/>
    <mergeCell ref="H18:H19"/>
    <mergeCell ref="C14:C15"/>
    <mergeCell ref="D14:D15"/>
    <mergeCell ref="H16:H17"/>
    <mergeCell ref="I16:I17"/>
    <mergeCell ref="F16:F17"/>
    <mergeCell ref="G16:G17"/>
    <mergeCell ref="E14:E15"/>
    <mergeCell ref="F14:F15"/>
    <mergeCell ref="G14:G15"/>
    <mergeCell ref="H14:H15"/>
    <mergeCell ref="A16:A17"/>
    <mergeCell ref="B5:B6"/>
    <mergeCell ref="C5:D5"/>
    <mergeCell ref="E5:E6"/>
    <mergeCell ref="B16:B17"/>
    <mergeCell ref="C16:C17"/>
    <mergeCell ref="D16:D17"/>
    <mergeCell ref="E16:E17"/>
    <mergeCell ref="A14:A15"/>
    <mergeCell ref="B14:B15"/>
    <mergeCell ref="I14:I15"/>
    <mergeCell ref="F5:F6"/>
    <mergeCell ref="H1:I1"/>
    <mergeCell ref="B2:I2"/>
    <mergeCell ref="A3:I3"/>
    <mergeCell ref="H4:I4"/>
    <mergeCell ref="I5:I6"/>
    <mergeCell ref="A5:A6"/>
    <mergeCell ref="G5:G6"/>
    <mergeCell ref="H5:H6"/>
  </mergeCells>
  <printOptions horizontalCentered="1"/>
  <pageMargins left="0.7" right="0.46" top="0.56" bottom="0.78740157480315" header="0.32" footer="0.41"/>
  <pageSetup fitToHeight="0" fitToWidth="1" horizontalDpi="600" verticalDpi="600" orientation="landscape" paperSize="9" scale="93" r:id="rId1"/>
  <headerFooter alignWithMargins="0"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60" zoomScaleNormal="70" zoomScalePageLayoutView="0" workbookViewId="0" topLeftCell="A1">
      <selection activeCell="M16" sqref="M16"/>
    </sheetView>
  </sheetViews>
  <sheetFormatPr defaultColWidth="9.140625" defaultRowHeight="12.75"/>
  <cols>
    <col min="1" max="1" width="7.28125" style="781" customWidth="1"/>
    <col min="2" max="2" width="38.57421875" style="781" customWidth="1"/>
    <col min="3" max="3" width="15.00390625" style="781" customWidth="1"/>
    <col min="4" max="4" width="17.140625" style="801" customWidth="1"/>
    <col min="5" max="9" width="14.140625" style="781" customWidth="1"/>
    <col min="10" max="10" width="17.7109375" style="781" customWidth="1"/>
    <col min="11" max="11" width="8.421875" style="781" hidden="1" customWidth="1"/>
    <col min="12" max="16384" width="9.140625" style="781" customWidth="1"/>
  </cols>
  <sheetData>
    <row r="1" spans="1:11" s="421" customFormat="1" ht="26.25" customHeight="1">
      <c r="A1" s="640"/>
      <c r="B1" s="640" t="s">
        <v>679</v>
      </c>
      <c r="C1" s="640"/>
      <c r="D1" s="640"/>
      <c r="E1" s="640"/>
      <c r="F1" s="640"/>
      <c r="G1" s="755"/>
      <c r="H1" s="756" t="s">
        <v>342</v>
      </c>
      <c r="I1" s="1197" t="s">
        <v>331</v>
      </c>
      <c r="J1" s="1197"/>
      <c r="K1" s="640"/>
    </row>
    <row r="2" spans="1:10" ht="24.75" customHeight="1">
      <c r="A2" s="1238" t="s">
        <v>678</v>
      </c>
      <c r="B2" s="1238"/>
      <c r="C2" s="1238"/>
      <c r="D2" s="1238"/>
      <c r="E2" s="1238"/>
      <c r="F2" s="1238"/>
      <c r="G2" s="1238"/>
      <c r="H2" s="1238"/>
      <c r="I2" s="1238"/>
      <c r="J2" s="1238"/>
    </row>
    <row r="3" spans="1:10" ht="34.5" customHeight="1">
      <c r="A3" s="1239" t="s">
        <v>680</v>
      </c>
      <c r="B3" s="1239"/>
      <c r="C3" s="1239"/>
      <c r="D3" s="1239"/>
      <c r="E3" s="1239"/>
      <c r="F3" s="1239"/>
      <c r="G3" s="1239"/>
      <c r="H3" s="1239"/>
      <c r="I3" s="1239"/>
      <c r="J3" s="1239"/>
    </row>
    <row r="4" spans="1:8" ht="28.5" customHeight="1">
      <c r="A4" s="782"/>
      <c r="B4" s="782"/>
      <c r="C4" s="782"/>
      <c r="D4" s="782"/>
      <c r="E4" s="782"/>
      <c r="F4" s="782"/>
      <c r="G4" s="782"/>
      <c r="H4" s="782"/>
    </row>
    <row r="5" spans="1:10" ht="31.5" customHeight="1">
      <c r="A5" s="1235" t="s">
        <v>0</v>
      </c>
      <c r="B5" s="1235" t="s">
        <v>287</v>
      </c>
      <c r="C5" s="1235" t="s">
        <v>184</v>
      </c>
      <c r="D5" s="1235" t="s">
        <v>332</v>
      </c>
      <c r="E5" s="1235" t="s">
        <v>333</v>
      </c>
      <c r="F5" s="1236" t="s">
        <v>334</v>
      </c>
      <c r="G5" s="1236" t="s">
        <v>335</v>
      </c>
      <c r="H5" s="1236" t="s">
        <v>336</v>
      </c>
      <c r="I5" s="1236" t="s">
        <v>337</v>
      </c>
      <c r="J5" s="1235" t="s">
        <v>681</v>
      </c>
    </row>
    <row r="6" spans="1:10" ht="36.75" customHeight="1">
      <c r="A6" s="1235"/>
      <c r="B6" s="1235"/>
      <c r="C6" s="1235"/>
      <c r="D6" s="1235"/>
      <c r="E6" s="1235"/>
      <c r="F6" s="1237"/>
      <c r="G6" s="1237"/>
      <c r="H6" s="1237"/>
      <c r="I6" s="1237"/>
      <c r="J6" s="1235"/>
    </row>
    <row r="7" spans="1:10" ht="30" customHeight="1">
      <c r="A7" s="783" t="s">
        <v>101</v>
      </c>
      <c r="B7" s="784" t="s">
        <v>682</v>
      </c>
      <c r="C7" s="783"/>
      <c r="D7" s="785"/>
      <c r="E7" s="786"/>
      <c r="F7" s="786"/>
      <c r="G7" s="787"/>
      <c r="H7" s="787"/>
      <c r="I7" s="785"/>
      <c r="J7" s="785"/>
    </row>
    <row r="8" spans="1:10" ht="30" customHeight="1">
      <c r="A8" s="788">
        <v>1</v>
      </c>
      <c r="B8" s="789" t="s">
        <v>683</v>
      </c>
      <c r="C8" s="788" t="s">
        <v>682</v>
      </c>
      <c r="D8" s="785">
        <v>178</v>
      </c>
      <c r="E8" s="786">
        <v>196</v>
      </c>
      <c r="F8" s="786">
        <f>E8+F10-F11</f>
        <v>214</v>
      </c>
      <c r="G8" s="786">
        <v>231</v>
      </c>
      <c r="H8" s="786">
        <f>G8+H10-H11</f>
        <v>248</v>
      </c>
      <c r="I8" s="786">
        <f>H8+I10-I11</f>
        <v>265</v>
      </c>
      <c r="J8" s="790">
        <v>265</v>
      </c>
    </row>
    <row r="9" spans="1:10" ht="30" customHeight="1">
      <c r="A9" s="788"/>
      <c r="B9" s="791" t="s">
        <v>214</v>
      </c>
      <c r="C9" s="788"/>
      <c r="D9" s="785"/>
      <c r="E9" s="786"/>
      <c r="F9" s="786"/>
      <c r="G9" s="786"/>
      <c r="H9" s="786"/>
      <c r="I9" s="785"/>
      <c r="J9" s="790"/>
    </row>
    <row r="10" spans="1:10" ht="30" customHeight="1">
      <c r="A10" s="792" t="s">
        <v>284</v>
      </c>
      <c r="B10" s="789" t="s">
        <v>684</v>
      </c>
      <c r="C10" s="788" t="s">
        <v>682</v>
      </c>
      <c r="D10" s="785">
        <v>83</v>
      </c>
      <c r="E10" s="786">
        <v>20</v>
      </c>
      <c r="F10" s="786">
        <v>20</v>
      </c>
      <c r="G10" s="786">
        <v>20</v>
      </c>
      <c r="H10" s="786">
        <v>20</v>
      </c>
      <c r="I10" s="786">
        <v>20</v>
      </c>
      <c r="J10" s="790">
        <f>E10+F10+G10+H10+I10</f>
        <v>100</v>
      </c>
    </row>
    <row r="11" spans="1:10" ht="30" customHeight="1">
      <c r="A11" s="792" t="s">
        <v>284</v>
      </c>
      <c r="B11" s="789" t="s">
        <v>685</v>
      </c>
      <c r="C11" s="788" t="s">
        <v>682</v>
      </c>
      <c r="D11" s="785">
        <v>27</v>
      </c>
      <c r="E11" s="786">
        <v>2</v>
      </c>
      <c r="F11" s="786">
        <v>2</v>
      </c>
      <c r="G11" s="786">
        <v>3</v>
      </c>
      <c r="H11" s="786">
        <v>3</v>
      </c>
      <c r="I11" s="786">
        <v>3</v>
      </c>
      <c r="J11" s="790">
        <f>E11+F11+G11+H11+I11</f>
        <v>13</v>
      </c>
    </row>
    <row r="12" spans="1:10" ht="30" customHeight="1">
      <c r="A12" s="788">
        <v>2</v>
      </c>
      <c r="B12" s="789" t="s">
        <v>686</v>
      </c>
      <c r="C12" s="788" t="s">
        <v>514</v>
      </c>
      <c r="D12" s="793">
        <v>23008</v>
      </c>
      <c r="E12" s="794">
        <v>23134</v>
      </c>
      <c r="F12" s="794">
        <v>23260</v>
      </c>
      <c r="G12" s="794">
        <v>23386</v>
      </c>
      <c r="H12" s="794">
        <v>23512</v>
      </c>
      <c r="I12" s="794">
        <v>23638</v>
      </c>
      <c r="J12" s="795">
        <v>23628</v>
      </c>
    </row>
    <row r="13" spans="1:10" ht="30" customHeight="1">
      <c r="A13" s="788">
        <v>3</v>
      </c>
      <c r="B13" s="789" t="s">
        <v>687</v>
      </c>
      <c r="C13" s="788" t="s">
        <v>514</v>
      </c>
      <c r="D13" s="793">
        <v>23428</v>
      </c>
      <c r="E13" s="794">
        <v>23578</v>
      </c>
      <c r="F13" s="794">
        <v>23728</v>
      </c>
      <c r="G13" s="794">
        <v>23878</v>
      </c>
      <c r="H13" s="794">
        <v>24028</v>
      </c>
      <c r="I13" s="794">
        <v>24178</v>
      </c>
      <c r="J13" s="795">
        <v>24178</v>
      </c>
    </row>
    <row r="14" spans="1:10" ht="37.5">
      <c r="A14" s="788"/>
      <c r="B14" s="791" t="s">
        <v>703</v>
      </c>
      <c r="C14" s="788" t="s">
        <v>514</v>
      </c>
      <c r="D14" s="793">
        <v>22945</v>
      </c>
      <c r="E14" s="794">
        <v>23134</v>
      </c>
      <c r="F14" s="794">
        <v>23260</v>
      </c>
      <c r="G14" s="794">
        <v>23386</v>
      </c>
      <c r="H14" s="794">
        <v>23512</v>
      </c>
      <c r="I14" s="794">
        <v>23638</v>
      </c>
      <c r="J14" s="795">
        <v>23628</v>
      </c>
    </row>
    <row r="15" spans="1:10" ht="30" customHeight="1">
      <c r="A15" s="783" t="s">
        <v>102</v>
      </c>
      <c r="B15" s="784" t="s">
        <v>688</v>
      </c>
      <c r="C15" s="788"/>
      <c r="D15" s="785"/>
      <c r="E15" s="786"/>
      <c r="F15" s="786"/>
      <c r="G15" s="787"/>
      <c r="H15" s="787"/>
      <c r="I15" s="786"/>
      <c r="J15" s="785"/>
    </row>
    <row r="16" spans="1:10" ht="42" customHeight="1">
      <c r="A16" s="788">
        <v>1</v>
      </c>
      <c r="B16" s="789" t="s">
        <v>689</v>
      </c>
      <c r="C16" s="788" t="s">
        <v>688</v>
      </c>
      <c r="D16" s="785"/>
      <c r="E16" s="786"/>
      <c r="F16" s="786"/>
      <c r="G16" s="787"/>
      <c r="H16" s="787"/>
      <c r="I16" s="786"/>
      <c r="J16" s="785"/>
    </row>
    <row r="17" spans="1:10" ht="30" customHeight="1">
      <c r="A17" s="788"/>
      <c r="B17" s="791" t="s">
        <v>214</v>
      </c>
      <c r="C17" s="788"/>
      <c r="D17" s="785"/>
      <c r="E17" s="786"/>
      <c r="F17" s="786"/>
      <c r="G17" s="787"/>
      <c r="H17" s="787"/>
      <c r="I17" s="786"/>
      <c r="J17" s="785"/>
    </row>
    <row r="18" spans="1:10" ht="39" customHeight="1">
      <c r="A18" s="792" t="s">
        <v>284</v>
      </c>
      <c r="B18" s="789" t="s">
        <v>690</v>
      </c>
      <c r="C18" s="788" t="s">
        <v>688</v>
      </c>
      <c r="D18" s="785"/>
      <c r="E18" s="786"/>
      <c r="F18" s="786"/>
      <c r="G18" s="787"/>
      <c r="H18" s="787"/>
      <c r="I18" s="786"/>
      <c r="J18" s="785"/>
    </row>
    <row r="19" spans="1:10" ht="42" customHeight="1">
      <c r="A19" s="792" t="s">
        <v>284</v>
      </c>
      <c r="B19" s="789" t="s">
        <v>691</v>
      </c>
      <c r="C19" s="788" t="s">
        <v>688</v>
      </c>
      <c r="D19" s="785"/>
      <c r="E19" s="786"/>
      <c r="F19" s="786"/>
      <c r="G19" s="787"/>
      <c r="H19" s="787"/>
      <c r="I19" s="786"/>
      <c r="J19" s="785"/>
    </row>
    <row r="20" spans="1:10" ht="30" customHeight="1">
      <c r="A20" s="788">
        <v>2</v>
      </c>
      <c r="B20" s="789" t="s">
        <v>692</v>
      </c>
      <c r="C20" s="788" t="s">
        <v>682</v>
      </c>
      <c r="D20" s="785"/>
      <c r="E20" s="786"/>
      <c r="F20" s="786"/>
      <c r="G20" s="787"/>
      <c r="H20" s="787"/>
      <c r="I20" s="786"/>
      <c r="J20" s="785"/>
    </row>
    <row r="21" spans="1:10" ht="37.5">
      <c r="A21" s="788">
        <v>3</v>
      </c>
      <c r="B21" s="789" t="s">
        <v>693</v>
      </c>
      <c r="C21" s="788" t="s">
        <v>514</v>
      </c>
      <c r="D21" s="796"/>
      <c r="E21" s="789"/>
      <c r="F21" s="789"/>
      <c r="G21" s="789"/>
      <c r="H21" s="789"/>
      <c r="I21" s="788"/>
      <c r="J21" s="785"/>
    </row>
    <row r="22" spans="1:10" ht="30" customHeight="1">
      <c r="A22" s="783" t="s">
        <v>115</v>
      </c>
      <c r="B22" s="784" t="s">
        <v>694</v>
      </c>
      <c r="C22" s="783"/>
      <c r="D22" s="796"/>
      <c r="E22" s="789"/>
      <c r="F22" s="789"/>
      <c r="G22" s="789"/>
      <c r="H22" s="789"/>
      <c r="I22" s="789"/>
      <c r="J22" s="797"/>
    </row>
    <row r="23" spans="1:13" ht="30" customHeight="1">
      <c r="A23" s="788">
        <v>1</v>
      </c>
      <c r="B23" s="789" t="s">
        <v>695</v>
      </c>
      <c r="C23" s="788" t="s">
        <v>696</v>
      </c>
      <c r="D23" s="796">
        <v>335</v>
      </c>
      <c r="E23" s="789">
        <v>355</v>
      </c>
      <c r="F23" s="789">
        <v>375</v>
      </c>
      <c r="G23" s="789">
        <v>395</v>
      </c>
      <c r="H23" s="789">
        <v>415</v>
      </c>
      <c r="I23" s="789">
        <v>435</v>
      </c>
      <c r="J23" s="797">
        <v>435</v>
      </c>
      <c r="M23" s="798"/>
    </row>
    <row r="24" spans="1:10" ht="37.5">
      <c r="A24" s="788"/>
      <c r="B24" s="791" t="s">
        <v>704</v>
      </c>
      <c r="C24" s="788"/>
      <c r="D24" s="796">
        <v>100</v>
      </c>
      <c r="E24" s="789">
        <v>106</v>
      </c>
      <c r="F24" s="789">
        <v>112</v>
      </c>
      <c r="G24" s="789">
        <v>119</v>
      </c>
      <c r="H24" s="789">
        <v>126</v>
      </c>
      <c r="I24" s="789">
        <v>133</v>
      </c>
      <c r="J24" s="797">
        <v>133</v>
      </c>
    </row>
    <row r="25" spans="1:10" ht="30" customHeight="1">
      <c r="A25" s="788">
        <v>2</v>
      </c>
      <c r="B25" s="789" t="s">
        <v>697</v>
      </c>
      <c r="C25" s="788" t="s">
        <v>698</v>
      </c>
      <c r="D25" s="799">
        <v>3300</v>
      </c>
      <c r="E25" s="800">
        <v>3493</v>
      </c>
      <c r="F25" s="800">
        <v>3699</v>
      </c>
      <c r="G25" s="800">
        <v>3916</v>
      </c>
      <c r="H25" s="800">
        <v>4146</v>
      </c>
      <c r="I25" s="800">
        <v>4390</v>
      </c>
      <c r="J25" s="797">
        <v>4390</v>
      </c>
    </row>
    <row r="26" spans="1:10" ht="37.5">
      <c r="A26" s="789"/>
      <c r="B26" s="791" t="s">
        <v>705</v>
      </c>
      <c r="C26" s="788" t="s">
        <v>514</v>
      </c>
      <c r="D26" s="799">
        <v>1260</v>
      </c>
      <c r="E26" s="800">
        <v>1334</v>
      </c>
      <c r="F26" s="800">
        <v>1412</v>
      </c>
      <c r="G26" s="800">
        <v>1495</v>
      </c>
      <c r="H26" s="800">
        <v>1583</v>
      </c>
      <c r="I26" s="800">
        <v>1676</v>
      </c>
      <c r="J26" s="797">
        <v>1676</v>
      </c>
    </row>
    <row r="27" spans="1:11" ht="30" customHeight="1">
      <c r="A27" s="788">
        <v>3</v>
      </c>
      <c r="B27" s="789" t="s">
        <v>699</v>
      </c>
      <c r="C27" s="788" t="s">
        <v>514</v>
      </c>
      <c r="D27" s="799">
        <v>3300</v>
      </c>
      <c r="E27" s="800"/>
      <c r="F27" s="800">
        <v>3493</v>
      </c>
      <c r="G27" s="800">
        <v>3699</v>
      </c>
      <c r="H27" s="800">
        <v>3916</v>
      </c>
      <c r="I27" s="800">
        <v>4146</v>
      </c>
      <c r="J27" s="800">
        <v>4390</v>
      </c>
      <c r="K27" s="797">
        <v>4390</v>
      </c>
    </row>
    <row r="28" spans="1:10" ht="30" customHeight="1">
      <c r="A28" s="789"/>
      <c r="B28" s="791" t="s">
        <v>214</v>
      </c>
      <c r="C28" s="788"/>
      <c r="D28" s="799"/>
      <c r="E28" s="800"/>
      <c r="F28" s="800"/>
      <c r="G28" s="800"/>
      <c r="H28" s="800"/>
      <c r="I28" s="800"/>
      <c r="J28" s="797"/>
    </row>
    <row r="29" spans="1:10" ht="31.5" customHeight="1">
      <c r="A29" s="792" t="s">
        <v>284</v>
      </c>
      <c r="B29" s="789" t="s">
        <v>700</v>
      </c>
      <c r="C29" s="788" t="s">
        <v>514</v>
      </c>
      <c r="D29" s="799">
        <v>3300</v>
      </c>
      <c r="E29" s="800">
        <v>3493</v>
      </c>
      <c r="F29" s="800">
        <v>3699</v>
      </c>
      <c r="G29" s="800">
        <v>3916</v>
      </c>
      <c r="H29" s="800">
        <v>4146</v>
      </c>
      <c r="I29" s="800">
        <v>4390</v>
      </c>
      <c r="J29" s="797">
        <v>4390</v>
      </c>
    </row>
    <row r="30" spans="1:10" ht="37.5">
      <c r="A30" s="792" t="s">
        <v>284</v>
      </c>
      <c r="B30" s="789" t="s">
        <v>701</v>
      </c>
      <c r="C30" s="788" t="s">
        <v>514</v>
      </c>
      <c r="D30" s="799">
        <v>1260</v>
      </c>
      <c r="E30" s="800">
        <v>1334</v>
      </c>
      <c r="F30" s="800">
        <v>1412</v>
      </c>
      <c r="G30" s="800">
        <v>1495</v>
      </c>
      <c r="H30" s="800">
        <v>1583</v>
      </c>
      <c r="I30" s="800">
        <v>1676</v>
      </c>
      <c r="J30" s="797">
        <v>1676</v>
      </c>
    </row>
  </sheetData>
  <sheetProtection/>
  <mergeCells count="13">
    <mergeCell ref="J5:J6"/>
    <mergeCell ref="A2:J2"/>
    <mergeCell ref="A3:J3"/>
    <mergeCell ref="I1:J1"/>
    <mergeCell ref="E5:E6"/>
    <mergeCell ref="F5:F6"/>
    <mergeCell ref="A5:A6"/>
    <mergeCell ref="B5:B6"/>
    <mergeCell ref="C5:C6"/>
    <mergeCell ref="D5:D6"/>
    <mergeCell ref="G5:G6"/>
    <mergeCell ref="H5:H6"/>
    <mergeCell ref="I5:I6"/>
  </mergeCells>
  <printOptions/>
  <pageMargins left="0.511811023622047" right="0.511811023622047" top="0.748031496062992" bottom="0.748031496062992" header="0.31496062992126" footer="0.31496062992126"/>
  <pageSetup fitToHeight="0" fitToWidth="1" horizontalDpi="600" verticalDpi="600" orientation="landscape" paperSize="9" scale="83" r:id="rId1"/>
  <headerFooter alignWithMargins="0"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5.140625" style="38" customWidth="1"/>
    <col min="2" max="2" width="43.140625" style="38" customWidth="1"/>
    <col min="3" max="3" width="11.8515625" style="38" customWidth="1"/>
    <col min="4" max="4" width="15.140625" style="40" customWidth="1"/>
    <col min="5" max="5" width="10.8515625" style="40" hidden="1" customWidth="1"/>
    <col min="6" max="7" width="10.8515625" style="38" hidden="1" customWidth="1"/>
    <col min="8" max="8" width="12.140625" style="38" hidden="1" customWidth="1"/>
    <col min="9" max="9" width="20.421875" style="38" customWidth="1"/>
    <col min="10" max="10" width="15.140625" style="38" customWidth="1"/>
    <col min="11" max="11" width="14.8515625" style="38" customWidth="1"/>
    <col min="12" max="12" width="16.8515625" style="38" customWidth="1"/>
    <col min="13" max="16384" width="9.140625" style="38" customWidth="1"/>
  </cols>
  <sheetData>
    <row r="1" spans="1:12" ht="36" customHeight="1">
      <c r="A1" s="1243" t="s">
        <v>130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</row>
    <row r="2" spans="1:12" ht="27.75" customHeight="1">
      <c r="A2" s="1244" t="s">
        <v>100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</row>
    <row r="3" spans="1:12" ht="13.5" thickBot="1">
      <c r="A3" s="56"/>
      <c r="B3" s="56"/>
      <c r="C3" s="56"/>
      <c r="D3" s="57"/>
      <c r="E3" s="57"/>
      <c r="F3" s="39"/>
      <c r="G3" s="39"/>
      <c r="H3" s="39"/>
      <c r="I3" s="57"/>
      <c r="J3" s="56"/>
      <c r="K3" s="56"/>
      <c r="L3" s="56"/>
    </row>
    <row r="4" spans="1:12" s="44" customFormat="1" ht="32.25" customHeight="1" thickTop="1">
      <c r="A4" s="1245" t="s">
        <v>0</v>
      </c>
      <c r="B4" s="1245" t="s">
        <v>19</v>
      </c>
      <c r="C4" s="1245" t="s">
        <v>20</v>
      </c>
      <c r="D4" s="1240" t="s">
        <v>21</v>
      </c>
      <c r="E4" s="1240" t="s">
        <v>98</v>
      </c>
      <c r="F4" s="1240" t="s">
        <v>22</v>
      </c>
      <c r="G4" s="1240" t="s">
        <v>23</v>
      </c>
      <c r="H4" s="1240" t="s">
        <v>24</v>
      </c>
      <c r="I4" s="1240" t="s">
        <v>124</v>
      </c>
      <c r="J4" s="1247" t="s">
        <v>95</v>
      </c>
      <c r="K4" s="1248"/>
      <c r="L4" s="1245" t="s">
        <v>25</v>
      </c>
    </row>
    <row r="5" spans="1:12" s="44" customFormat="1" ht="21" customHeight="1">
      <c r="A5" s="1246"/>
      <c r="B5" s="1246"/>
      <c r="C5" s="1246"/>
      <c r="D5" s="1241"/>
      <c r="E5" s="1241"/>
      <c r="F5" s="1241"/>
      <c r="G5" s="1241"/>
      <c r="H5" s="1241"/>
      <c r="I5" s="1241"/>
      <c r="J5" s="58">
        <v>2009</v>
      </c>
      <c r="K5" s="58">
        <v>2010</v>
      </c>
      <c r="L5" s="1246"/>
    </row>
    <row r="6" spans="1:12" s="44" customFormat="1" ht="30" customHeight="1">
      <c r="A6" s="45" t="s">
        <v>26</v>
      </c>
      <c r="B6" s="46" t="s">
        <v>27</v>
      </c>
      <c r="C6" s="45"/>
      <c r="D6" s="47"/>
      <c r="E6" s="47"/>
      <c r="F6" s="45"/>
      <c r="G6" s="45"/>
      <c r="H6" s="45">
        <v>6.2</v>
      </c>
      <c r="I6" s="45"/>
      <c r="J6" s="45"/>
      <c r="K6" s="45"/>
      <c r="L6" s="45"/>
    </row>
    <row r="7" spans="1:12" s="44" customFormat="1" ht="48" customHeight="1">
      <c r="A7" s="48">
        <v>1</v>
      </c>
      <c r="B7" s="49" t="s">
        <v>28</v>
      </c>
      <c r="C7" s="48" t="s">
        <v>5</v>
      </c>
      <c r="D7" s="50" t="s">
        <v>29</v>
      </c>
      <c r="E7" s="64" t="e">
        <f>#REF!</f>
        <v>#REF!</v>
      </c>
      <c r="F7" s="64" t="e">
        <f>#REF!</f>
        <v>#REF!</v>
      </c>
      <c r="G7" s="64" t="e">
        <f>#REF!</f>
        <v>#REF!</v>
      </c>
      <c r="H7" s="64" t="e">
        <f>#REF!</f>
        <v>#REF!</v>
      </c>
      <c r="I7" s="68" t="e">
        <f>#REF!</f>
        <v>#REF!</v>
      </c>
      <c r="J7" s="51" t="e">
        <f>#REF!</f>
        <v>#REF!</v>
      </c>
      <c r="K7" s="51">
        <v>7</v>
      </c>
      <c r="L7" s="48" t="s">
        <v>126</v>
      </c>
    </row>
    <row r="8" spans="1:12" s="44" customFormat="1" ht="36" customHeight="1">
      <c r="A8" s="48">
        <v>2</v>
      </c>
      <c r="B8" s="49" t="s">
        <v>31</v>
      </c>
      <c r="C8" s="48" t="s">
        <v>32</v>
      </c>
      <c r="D8" s="50" t="s">
        <v>33</v>
      </c>
      <c r="E8" s="50"/>
      <c r="F8" s="52">
        <v>425373</v>
      </c>
      <c r="G8" s="52">
        <v>461443</v>
      </c>
      <c r="H8" s="48" t="s">
        <v>34</v>
      </c>
      <c r="I8" s="48" t="s">
        <v>96</v>
      </c>
      <c r="J8" s="52" t="s">
        <v>97</v>
      </c>
      <c r="K8" s="52" t="s">
        <v>127</v>
      </c>
      <c r="L8" s="48" t="s">
        <v>30</v>
      </c>
    </row>
    <row r="9" spans="1:12" s="44" customFormat="1" ht="24.75" customHeight="1">
      <c r="A9" s="48">
        <v>3</v>
      </c>
      <c r="B9" s="49" t="s">
        <v>35</v>
      </c>
      <c r="C9" s="48" t="s">
        <v>10</v>
      </c>
      <c r="D9" s="50" t="e">
        <f>#REF!</f>
        <v>#REF!</v>
      </c>
      <c r="E9" s="50" t="e">
        <f>#REF!</f>
        <v>#REF!</v>
      </c>
      <c r="F9" s="50" t="e">
        <f>#REF!</f>
        <v>#REF!</v>
      </c>
      <c r="G9" s="50" t="e">
        <f>#REF!</f>
        <v>#REF!</v>
      </c>
      <c r="H9" s="50" t="e">
        <f>#REF!</f>
        <v>#REF!</v>
      </c>
      <c r="I9" s="50" t="e">
        <f>#REF!</f>
        <v>#REF!</v>
      </c>
      <c r="J9" s="52" t="e">
        <f>#REF!</f>
        <v>#REF!</v>
      </c>
      <c r="K9" s="52">
        <v>1380</v>
      </c>
      <c r="L9" s="48" t="s">
        <v>78</v>
      </c>
    </row>
    <row r="10" spans="1:12" s="44" customFormat="1" ht="24.75" customHeight="1">
      <c r="A10" s="48">
        <v>4</v>
      </c>
      <c r="B10" s="49" t="s">
        <v>37</v>
      </c>
      <c r="C10" s="48" t="s">
        <v>5</v>
      </c>
      <c r="D10" s="50" t="e">
        <f>#REF!</f>
        <v>#REF!</v>
      </c>
      <c r="E10" s="50" t="e">
        <f>#REF!</f>
        <v>#REF!</v>
      </c>
      <c r="F10" s="50" t="e">
        <f>#REF!</f>
        <v>#REF!</v>
      </c>
      <c r="G10" s="50" t="e">
        <f>#REF!</f>
        <v>#REF!</v>
      </c>
      <c r="H10" s="50" t="e">
        <f>#REF!</f>
        <v>#REF!</v>
      </c>
      <c r="I10" s="66" t="e">
        <f>#REF!</f>
        <v>#REF!</v>
      </c>
      <c r="J10" s="51" t="e">
        <f>#REF!</f>
        <v>#REF!</v>
      </c>
      <c r="K10" s="51">
        <v>3.5</v>
      </c>
      <c r="L10" s="48" t="s">
        <v>78</v>
      </c>
    </row>
    <row r="11" spans="1:12" s="44" customFormat="1" ht="24.75" customHeight="1">
      <c r="A11" s="48">
        <v>5</v>
      </c>
      <c r="B11" s="49" t="s">
        <v>38</v>
      </c>
      <c r="C11" s="48" t="s">
        <v>5</v>
      </c>
      <c r="D11" s="50" t="e">
        <f>#REF!</f>
        <v>#REF!</v>
      </c>
      <c r="E11" s="50" t="e">
        <f>#REF!</f>
        <v>#REF!</v>
      </c>
      <c r="F11" s="50" t="e">
        <f>#REF!</f>
        <v>#REF!</v>
      </c>
      <c r="G11" s="50" t="e">
        <f>#REF!</f>
        <v>#REF!</v>
      </c>
      <c r="H11" s="50" t="e">
        <f>#REF!</f>
        <v>#REF!</v>
      </c>
      <c r="I11" s="66" t="e">
        <f>#REF!</f>
        <v>#REF!</v>
      </c>
      <c r="J11" s="51" t="e">
        <f>#REF!</f>
        <v>#REF!</v>
      </c>
      <c r="K11" s="51">
        <v>8</v>
      </c>
      <c r="L11" s="48" t="s">
        <v>126</v>
      </c>
    </row>
    <row r="12" spans="1:12" s="44" customFormat="1" ht="24.75" customHeight="1">
      <c r="A12" s="48">
        <v>6</v>
      </c>
      <c r="B12" s="49" t="s">
        <v>39</v>
      </c>
      <c r="C12" s="48" t="s">
        <v>5</v>
      </c>
      <c r="D12" s="50" t="e">
        <f>#REF!</f>
        <v>#REF!</v>
      </c>
      <c r="E12" s="50" t="e">
        <f>#REF!</f>
        <v>#REF!</v>
      </c>
      <c r="F12" s="50" t="e">
        <f>#REF!</f>
        <v>#REF!</v>
      </c>
      <c r="G12" s="50" t="e">
        <f>#REF!</f>
        <v>#REF!</v>
      </c>
      <c r="H12" s="50" t="e">
        <f>#REF!</f>
        <v>#REF!</v>
      </c>
      <c r="I12" s="66" t="e">
        <f>#REF!</f>
        <v>#REF!</v>
      </c>
      <c r="J12" s="51" t="e">
        <f>#REF!</f>
        <v>#REF!</v>
      </c>
      <c r="K12" s="48">
        <v>7.8</v>
      </c>
      <c r="L12" s="48" t="s">
        <v>36</v>
      </c>
    </row>
    <row r="13" spans="1:12" s="44" customFormat="1" ht="24.75" customHeight="1">
      <c r="A13" s="48">
        <v>7</v>
      </c>
      <c r="B13" s="49" t="s">
        <v>40</v>
      </c>
      <c r="C13" s="48"/>
      <c r="D13" s="50"/>
      <c r="E13" s="50"/>
      <c r="F13" s="48"/>
      <c r="G13" s="48"/>
      <c r="H13" s="48"/>
      <c r="I13" s="48"/>
      <c r="J13" s="48"/>
      <c r="K13" s="48"/>
      <c r="L13" s="48"/>
    </row>
    <row r="14" spans="1:12" s="44" customFormat="1" ht="24.75" customHeight="1">
      <c r="A14" s="48"/>
      <c r="B14" s="49" t="s">
        <v>41</v>
      </c>
      <c r="C14" s="48" t="s">
        <v>5</v>
      </c>
      <c r="D14" s="50" t="e">
        <f>#REF!</f>
        <v>#REF!</v>
      </c>
      <c r="E14" s="50" t="e">
        <f>#REF!</f>
        <v>#REF!</v>
      </c>
      <c r="F14" s="50" t="e">
        <f>#REF!</f>
        <v>#REF!</v>
      </c>
      <c r="G14" s="50" t="e">
        <f>#REF!</f>
        <v>#REF!</v>
      </c>
      <c r="H14" s="50" t="e">
        <f>#REF!</f>
        <v>#REF!</v>
      </c>
      <c r="I14" s="50" t="e">
        <f>#REF!</f>
        <v>#REF!</v>
      </c>
      <c r="J14" s="124" t="e">
        <f>#REF!</f>
        <v>#REF!</v>
      </c>
      <c r="K14" s="48">
        <v>20</v>
      </c>
      <c r="L14" s="48" t="s">
        <v>42</v>
      </c>
    </row>
    <row r="15" spans="1:12" s="44" customFormat="1" ht="24.75" customHeight="1">
      <c r="A15" s="48"/>
      <c r="B15" s="49" t="s">
        <v>43</v>
      </c>
      <c r="C15" s="48" t="s">
        <v>5</v>
      </c>
      <c r="D15" s="50" t="e">
        <f>#REF!</f>
        <v>#REF!</v>
      </c>
      <c r="E15" s="50" t="e">
        <f>#REF!</f>
        <v>#REF!</v>
      </c>
      <c r="F15" s="50" t="e">
        <f>#REF!</f>
        <v>#REF!</v>
      </c>
      <c r="G15" s="50" t="e">
        <f>#REF!</f>
        <v>#REF!</v>
      </c>
      <c r="H15" s="50" t="e">
        <f>#REF!</f>
        <v>#REF!</v>
      </c>
      <c r="I15" s="50" t="e">
        <f>#REF!</f>
        <v>#REF!</v>
      </c>
      <c r="J15" s="124" t="e">
        <f>#REF!</f>
        <v>#REF!</v>
      </c>
      <c r="K15" s="48">
        <v>40.8</v>
      </c>
      <c r="L15" s="48" t="s">
        <v>42</v>
      </c>
    </row>
    <row r="16" spans="1:12" s="44" customFormat="1" ht="24.75" customHeight="1">
      <c r="A16" s="48"/>
      <c r="B16" s="49" t="s">
        <v>44</v>
      </c>
      <c r="C16" s="48" t="s">
        <v>5</v>
      </c>
      <c r="D16" s="50" t="e">
        <f>#REF!</f>
        <v>#REF!</v>
      </c>
      <c r="E16" s="50" t="e">
        <f>#REF!</f>
        <v>#REF!</v>
      </c>
      <c r="F16" s="50" t="e">
        <f>#REF!</f>
        <v>#REF!</v>
      </c>
      <c r="G16" s="50" t="e">
        <f>#REF!</f>
        <v>#REF!</v>
      </c>
      <c r="H16" s="50" t="e">
        <f>#REF!</f>
        <v>#REF!</v>
      </c>
      <c r="I16" s="50" t="e">
        <f>#REF!</f>
        <v>#REF!</v>
      </c>
      <c r="J16" s="124" t="e">
        <f>#REF!</f>
        <v>#REF!</v>
      </c>
      <c r="K16" s="48">
        <v>40.5</v>
      </c>
      <c r="L16" s="48" t="s">
        <v>30</v>
      </c>
    </row>
    <row r="17" spans="1:15" s="44" customFormat="1" ht="32.25" customHeight="1">
      <c r="A17" s="48">
        <v>8</v>
      </c>
      <c r="B17" s="49" t="s">
        <v>45</v>
      </c>
      <c r="C17" s="48" t="s">
        <v>5</v>
      </c>
      <c r="D17" s="50" t="e">
        <f>#REF!</f>
        <v>#REF!</v>
      </c>
      <c r="E17" s="50" t="e">
        <f>#REF!</f>
        <v>#REF!</v>
      </c>
      <c r="F17" s="50" t="e">
        <f>#REF!</f>
        <v>#REF!</v>
      </c>
      <c r="G17" s="50" t="e">
        <f>#REF!</f>
        <v>#REF!</v>
      </c>
      <c r="H17" s="60" t="e">
        <f>#REF!</f>
        <v>#REF!</v>
      </c>
      <c r="I17" s="60" t="e">
        <f>#REF!</f>
        <v>#REF!</v>
      </c>
      <c r="J17" s="51" t="e">
        <f>#REF!</f>
        <v>#REF!</v>
      </c>
      <c r="K17" s="48">
        <v>20</v>
      </c>
      <c r="L17" s="48" t="s">
        <v>78</v>
      </c>
      <c r="O17" s="116"/>
    </row>
    <row r="18" spans="1:12" s="44" customFormat="1" ht="33" customHeight="1">
      <c r="A18" s="48">
        <v>9</v>
      </c>
      <c r="B18" s="49" t="s">
        <v>47</v>
      </c>
      <c r="C18" s="48" t="s">
        <v>5</v>
      </c>
      <c r="D18" s="50" t="e">
        <f>#REF!</f>
        <v>#REF!</v>
      </c>
      <c r="E18" s="50" t="e">
        <f>#REF!</f>
        <v>#REF!</v>
      </c>
      <c r="F18" s="50" t="e">
        <f>#REF!</f>
        <v>#REF!</v>
      </c>
      <c r="G18" s="50" t="e">
        <f>#REF!</f>
        <v>#REF!</v>
      </c>
      <c r="H18" s="50" t="e">
        <f>#REF!</f>
        <v>#REF!</v>
      </c>
      <c r="I18" s="50" t="e">
        <f>#REF!</f>
        <v>#REF!</v>
      </c>
      <c r="J18" s="48" t="e">
        <f>#REF!</f>
        <v>#REF!</v>
      </c>
      <c r="K18" s="48">
        <v>40</v>
      </c>
      <c r="L18" s="48" t="s">
        <v>36</v>
      </c>
    </row>
    <row r="19" spans="1:12" s="44" customFormat="1" ht="35.25" customHeight="1">
      <c r="A19" s="48">
        <v>10</v>
      </c>
      <c r="B19" s="49" t="s">
        <v>49</v>
      </c>
      <c r="C19" s="48" t="s">
        <v>5</v>
      </c>
      <c r="D19" s="50" t="s">
        <v>50</v>
      </c>
      <c r="E19" s="50">
        <v>27.2</v>
      </c>
      <c r="F19" s="48">
        <v>28.7</v>
      </c>
      <c r="G19" s="48">
        <v>27.6</v>
      </c>
      <c r="H19" s="48">
        <v>26.8</v>
      </c>
      <c r="I19" s="51" t="e">
        <f>#REF!</f>
        <v>#REF!</v>
      </c>
      <c r="J19" s="100" t="e">
        <f>#REF!</f>
        <v>#REF!</v>
      </c>
      <c r="K19" s="53">
        <v>23</v>
      </c>
      <c r="L19" s="48" t="s">
        <v>78</v>
      </c>
    </row>
    <row r="20" spans="1:12" s="44" customFormat="1" ht="24.75" customHeight="1">
      <c r="A20" s="48" t="s">
        <v>51</v>
      </c>
      <c r="B20" s="49" t="s">
        <v>52</v>
      </c>
      <c r="C20" s="48"/>
      <c r="D20" s="50"/>
      <c r="E20" s="50"/>
      <c r="F20" s="48"/>
      <c r="G20" s="48"/>
      <c r="H20" s="48"/>
      <c r="I20" s="48"/>
      <c r="J20" s="48"/>
      <c r="K20" s="48"/>
      <c r="L20" s="48"/>
    </row>
    <row r="21" spans="1:12" s="44" customFormat="1" ht="43.5" customHeight="1">
      <c r="A21" s="48">
        <v>11</v>
      </c>
      <c r="B21" s="49" t="s">
        <v>53</v>
      </c>
      <c r="C21" s="48" t="s">
        <v>54</v>
      </c>
      <c r="D21" s="50" t="s">
        <v>55</v>
      </c>
      <c r="E21" s="65" t="e">
        <f>#REF!</f>
        <v>#REF!</v>
      </c>
      <c r="F21" s="65" t="e">
        <f>#REF!</f>
        <v>#REF!</v>
      </c>
      <c r="G21" s="65" t="e">
        <f>#REF!</f>
        <v>#REF!</v>
      </c>
      <c r="H21" s="65" t="e">
        <f>#REF!</f>
        <v>#REF!</v>
      </c>
      <c r="I21" s="65" t="e">
        <f>#REF!</f>
        <v>#REF!</v>
      </c>
      <c r="J21" s="52" t="e">
        <f>#REF!</f>
        <v>#REF!</v>
      </c>
      <c r="K21" s="48" t="s">
        <v>104</v>
      </c>
      <c r="L21" s="48" t="s">
        <v>42</v>
      </c>
    </row>
    <row r="22" spans="1:12" s="44" customFormat="1" ht="30" customHeight="1">
      <c r="A22" s="48">
        <v>12</v>
      </c>
      <c r="B22" s="49" t="s">
        <v>56</v>
      </c>
      <c r="C22" s="48" t="s">
        <v>57</v>
      </c>
      <c r="D22" s="50" t="s">
        <v>58</v>
      </c>
      <c r="E22" s="50"/>
      <c r="F22" s="48">
        <v>183</v>
      </c>
      <c r="G22" s="48" t="s">
        <v>59</v>
      </c>
      <c r="H22" s="48" t="s">
        <v>60</v>
      </c>
      <c r="I22" s="117" t="e">
        <f>#REF!</f>
        <v>#REF!</v>
      </c>
      <c r="J22" s="48">
        <v>196</v>
      </c>
      <c r="K22" s="48">
        <v>204</v>
      </c>
      <c r="L22" s="48" t="s">
        <v>30</v>
      </c>
    </row>
    <row r="23" spans="1:12" s="44" customFormat="1" ht="28.5" customHeight="1">
      <c r="A23" s="48">
        <v>13</v>
      </c>
      <c r="B23" s="49" t="s">
        <v>61</v>
      </c>
      <c r="C23" s="48" t="s">
        <v>5</v>
      </c>
      <c r="D23" s="50" t="s">
        <v>48</v>
      </c>
      <c r="E23" s="50"/>
      <c r="F23" s="48">
        <v>27.8</v>
      </c>
      <c r="G23" s="48" t="s">
        <v>62</v>
      </c>
      <c r="H23" s="48" t="s">
        <v>63</v>
      </c>
      <c r="I23" s="51" t="str">
        <f>H23</f>
        <v>37</v>
      </c>
      <c r="J23" s="48">
        <v>40</v>
      </c>
      <c r="K23" s="48">
        <v>43</v>
      </c>
      <c r="L23" s="48" t="s">
        <v>36</v>
      </c>
    </row>
    <row r="24" spans="1:12" s="44" customFormat="1" ht="34.5" customHeight="1">
      <c r="A24" s="48">
        <v>14</v>
      </c>
      <c r="B24" s="49" t="s">
        <v>75</v>
      </c>
      <c r="C24" s="48" t="s">
        <v>5</v>
      </c>
      <c r="D24" s="50" t="s">
        <v>76</v>
      </c>
      <c r="E24" s="50"/>
      <c r="F24" s="48">
        <v>8.47</v>
      </c>
      <c r="G24" s="48">
        <v>21.5</v>
      </c>
      <c r="H24" s="48">
        <v>12.4</v>
      </c>
      <c r="I24" s="118" t="s">
        <v>128</v>
      </c>
      <c r="J24" s="48">
        <v>18</v>
      </c>
      <c r="K24" s="48"/>
      <c r="L24" s="48" t="s">
        <v>78</v>
      </c>
    </row>
    <row r="25" spans="1:12" s="44" customFormat="1" ht="24.75" customHeight="1">
      <c r="A25" s="48">
        <v>15</v>
      </c>
      <c r="B25" s="49" t="s">
        <v>64</v>
      </c>
      <c r="C25" s="48" t="s">
        <v>5</v>
      </c>
      <c r="D25" s="64" t="e">
        <f>#REF!</f>
        <v>#REF!</v>
      </c>
      <c r="E25" s="64" t="e">
        <f>#REF!</f>
        <v>#REF!</v>
      </c>
      <c r="F25" s="64" t="e">
        <f>#REF!</f>
        <v>#REF!</v>
      </c>
      <c r="G25" s="64" t="e">
        <f>#REF!</f>
        <v>#REF!</v>
      </c>
      <c r="H25" s="64" t="e">
        <f>#REF!</f>
        <v>#REF!</v>
      </c>
      <c r="I25" s="64" t="e">
        <f>#REF!</f>
        <v>#REF!</v>
      </c>
      <c r="J25" s="124" t="e">
        <f>#REF!</f>
        <v>#REF!</v>
      </c>
      <c r="K25" s="48">
        <v>1.16</v>
      </c>
      <c r="L25" s="48" t="s">
        <v>42</v>
      </c>
    </row>
    <row r="26" spans="1:12" s="44" customFormat="1" ht="24.75" customHeight="1">
      <c r="A26" s="48">
        <v>16</v>
      </c>
      <c r="B26" s="49" t="s">
        <v>65</v>
      </c>
      <c r="C26" s="48" t="s">
        <v>66</v>
      </c>
      <c r="D26" s="50" t="s">
        <v>103</v>
      </c>
      <c r="E26" s="50" t="e">
        <f>#REF!</f>
        <v>#REF!</v>
      </c>
      <c r="F26" s="50" t="e">
        <f>#REF!</f>
        <v>#REF!</v>
      </c>
      <c r="G26" s="50" t="e">
        <f>#REF!</f>
        <v>#REF!</v>
      </c>
      <c r="H26" s="50" t="e">
        <f>#REF!</f>
        <v>#REF!</v>
      </c>
      <c r="I26" s="50" t="e">
        <f>#REF!</f>
        <v>#REF!</v>
      </c>
      <c r="J26" s="48" t="e">
        <f>#REF!</f>
        <v>#REF!</v>
      </c>
      <c r="K26" s="48">
        <v>1.8</v>
      </c>
      <c r="L26" s="48" t="s">
        <v>78</v>
      </c>
    </row>
    <row r="27" spans="1:12" s="44" customFormat="1" ht="24.75" customHeight="1">
      <c r="A27" s="48">
        <v>17</v>
      </c>
      <c r="B27" s="49" t="s">
        <v>67</v>
      </c>
      <c r="C27" s="48" t="s">
        <v>5</v>
      </c>
      <c r="D27" s="64" t="e">
        <f>#REF!</f>
        <v>#REF!</v>
      </c>
      <c r="E27" s="64" t="e">
        <f>#REF!</f>
        <v>#REF!</v>
      </c>
      <c r="F27" s="64" t="e">
        <f>#REF!</f>
        <v>#REF!</v>
      </c>
      <c r="G27" s="64" t="e">
        <f>#REF!</f>
        <v>#REF!</v>
      </c>
      <c r="H27" s="64" t="e">
        <f>#REF!</f>
        <v>#REF!</v>
      </c>
      <c r="I27" s="64" t="e">
        <f>#REF!</f>
        <v>#REF!</v>
      </c>
      <c r="J27" s="124" t="e">
        <f>#REF!</f>
        <v>#REF!</v>
      </c>
      <c r="K27" s="48" t="s">
        <v>125</v>
      </c>
      <c r="L27" s="48" t="s">
        <v>78</v>
      </c>
    </row>
    <row r="28" spans="1:12" s="44" customFormat="1" ht="51" customHeight="1">
      <c r="A28" s="48">
        <v>18</v>
      </c>
      <c r="B28" s="49" t="s">
        <v>68</v>
      </c>
      <c r="C28" s="48" t="s">
        <v>5</v>
      </c>
      <c r="D28" s="50" t="e">
        <f>#REF!</f>
        <v>#REF!</v>
      </c>
      <c r="E28" s="50" t="e">
        <f>#REF!</f>
        <v>#REF!</v>
      </c>
      <c r="F28" s="50" t="e">
        <f>#REF!</f>
        <v>#REF!</v>
      </c>
      <c r="G28" s="50" t="e">
        <f>#REF!</f>
        <v>#REF!</v>
      </c>
      <c r="H28" s="50" t="e">
        <f>#REF!</f>
        <v>#REF!</v>
      </c>
      <c r="I28" s="66" t="e">
        <f>#REF!</f>
        <v>#REF!</v>
      </c>
      <c r="J28" s="66" t="e">
        <f>#REF!</f>
        <v>#REF!</v>
      </c>
      <c r="K28" s="48"/>
      <c r="L28" s="48" t="s">
        <v>30</v>
      </c>
    </row>
    <row r="29" spans="1:12" s="44" customFormat="1" ht="24.75" customHeight="1">
      <c r="A29" s="48">
        <v>19</v>
      </c>
      <c r="B29" s="49" t="s">
        <v>69</v>
      </c>
      <c r="C29" s="48" t="s">
        <v>70</v>
      </c>
      <c r="D29" s="50" t="s">
        <v>71</v>
      </c>
      <c r="E29" s="50"/>
      <c r="F29" s="48" t="s">
        <v>72</v>
      </c>
      <c r="G29" s="48" t="s">
        <v>72</v>
      </c>
      <c r="H29" s="54">
        <v>71.7</v>
      </c>
      <c r="I29" s="51">
        <f>H29</f>
        <v>71.7</v>
      </c>
      <c r="J29" s="48" t="s">
        <v>71</v>
      </c>
      <c r="K29" s="48"/>
      <c r="L29" s="48" t="s">
        <v>36</v>
      </c>
    </row>
    <row r="30" spans="1:12" s="44" customFormat="1" ht="33" customHeight="1">
      <c r="A30" s="1242" t="s">
        <v>129</v>
      </c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</row>
    <row r="31" spans="1:12" s="44" customFormat="1" ht="36.75" customHeight="1">
      <c r="A31" s="45">
        <v>20</v>
      </c>
      <c r="B31" s="46" t="s">
        <v>73</v>
      </c>
      <c r="C31" s="45" t="s">
        <v>5</v>
      </c>
      <c r="D31" s="47">
        <v>15</v>
      </c>
      <c r="E31" s="47"/>
      <c r="F31" s="45" t="s">
        <v>74</v>
      </c>
      <c r="G31" s="45">
        <v>20.8</v>
      </c>
      <c r="H31" s="45" t="s">
        <v>46</v>
      </c>
      <c r="I31" s="119">
        <f>(F31+G31+H31)/3</f>
        <v>16.733333333333334</v>
      </c>
      <c r="J31" s="45">
        <v>17</v>
      </c>
      <c r="K31" s="45">
        <v>18.5</v>
      </c>
      <c r="L31" s="45" t="s">
        <v>78</v>
      </c>
    </row>
    <row r="32" spans="1:12" s="44" customFormat="1" ht="32.25" customHeight="1">
      <c r="A32" s="48">
        <v>21</v>
      </c>
      <c r="B32" s="49" t="s">
        <v>77</v>
      </c>
      <c r="C32" s="48" t="s">
        <v>14</v>
      </c>
      <c r="D32" s="68" t="e">
        <f>#REF!</f>
        <v>#REF!</v>
      </c>
      <c r="E32" s="68" t="e">
        <f>#REF!</f>
        <v>#REF!</v>
      </c>
      <c r="F32" s="68" t="e">
        <f>#REF!</f>
        <v>#REF!</v>
      </c>
      <c r="G32" s="68" t="e">
        <f>#REF!</f>
        <v>#REF!</v>
      </c>
      <c r="H32" s="68" t="e">
        <f>#REF!</f>
        <v>#REF!</v>
      </c>
      <c r="I32" s="68" t="e">
        <f>#REF!</f>
        <v>#REF!</v>
      </c>
      <c r="J32" s="54" t="e">
        <f>#REF!</f>
        <v>#REF!</v>
      </c>
      <c r="K32" s="54">
        <v>15</v>
      </c>
      <c r="L32" s="48" t="s">
        <v>78</v>
      </c>
    </row>
    <row r="33" spans="1:12" s="44" customFormat="1" ht="33.75" customHeight="1">
      <c r="A33" s="48">
        <v>22</v>
      </c>
      <c r="B33" s="49" t="s">
        <v>79</v>
      </c>
      <c r="C33" s="48" t="s">
        <v>5</v>
      </c>
      <c r="D33" s="50" t="e">
        <f>#REF!</f>
        <v>#REF!</v>
      </c>
      <c r="E33" s="50" t="e">
        <f>#REF!</f>
        <v>#REF!</v>
      </c>
      <c r="F33" s="50" t="e">
        <f>#REF!</f>
        <v>#REF!</v>
      </c>
      <c r="G33" s="50" t="e">
        <f>#REF!</f>
        <v>#REF!</v>
      </c>
      <c r="H33" s="50" t="e">
        <f>#REF!</f>
        <v>#REF!</v>
      </c>
      <c r="I33" s="50" t="e">
        <f>#REF!</f>
        <v>#REF!</v>
      </c>
      <c r="J33" s="54" t="e">
        <f>#REF!</f>
        <v>#REF!</v>
      </c>
      <c r="K33" s="54" t="s">
        <v>99</v>
      </c>
      <c r="L33" s="48" t="s">
        <v>78</v>
      </c>
    </row>
    <row r="34" spans="1:12" s="44" customFormat="1" ht="31.5" customHeight="1">
      <c r="A34" s="48">
        <v>23</v>
      </c>
      <c r="B34" s="49" t="s">
        <v>80</v>
      </c>
      <c r="C34" s="48" t="s">
        <v>13</v>
      </c>
      <c r="D34" s="68" t="e">
        <f>#REF!</f>
        <v>#REF!</v>
      </c>
      <c r="E34" s="68" t="e">
        <f>#REF!</f>
        <v>#REF!</v>
      </c>
      <c r="F34" s="68" t="e">
        <f>#REF!</f>
        <v>#REF!</v>
      </c>
      <c r="G34" s="68" t="e">
        <f>#REF!</f>
        <v>#REF!</v>
      </c>
      <c r="H34" s="68" t="e">
        <f>#REF!</f>
        <v>#REF!</v>
      </c>
      <c r="I34" s="68" t="e">
        <f>#REF!</f>
        <v>#REF!</v>
      </c>
      <c r="J34" s="54" t="e">
        <f>#REF!</f>
        <v>#REF!</v>
      </c>
      <c r="K34" s="54">
        <v>74</v>
      </c>
      <c r="L34" s="48" t="s">
        <v>42</v>
      </c>
    </row>
    <row r="35" spans="1:12" s="44" customFormat="1" ht="24.75" customHeight="1">
      <c r="A35" s="48">
        <v>24</v>
      </c>
      <c r="B35" s="49" t="s">
        <v>81</v>
      </c>
      <c r="C35" s="48" t="s">
        <v>82</v>
      </c>
      <c r="D35" s="60" t="e">
        <f>#REF!</f>
        <v>#REF!</v>
      </c>
      <c r="E35" s="60" t="e">
        <f>#REF!</f>
        <v>#REF!</v>
      </c>
      <c r="F35" s="60" t="e">
        <f>#REF!</f>
        <v>#REF!</v>
      </c>
      <c r="G35" s="60" t="e">
        <f>#REF!</f>
        <v>#REF!</v>
      </c>
      <c r="H35" s="60" t="e">
        <f>#REF!</f>
        <v>#REF!</v>
      </c>
      <c r="I35" s="60" t="e">
        <f>#REF!</f>
        <v>#REF!</v>
      </c>
      <c r="J35" s="60" t="e">
        <f>#REF!</f>
        <v>#REF!</v>
      </c>
      <c r="K35" s="48">
        <v>7</v>
      </c>
      <c r="L35" s="48" t="s">
        <v>30</v>
      </c>
    </row>
    <row r="36" spans="1:12" s="44" customFormat="1" ht="35.25" customHeight="1">
      <c r="A36" s="48">
        <v>25</v>
      </c>
      <c r="B36" s="49" t="s">
        <v>83</v>
      </c>
      <c r="C36" s="48" t="s">
        <v>5</v>
      </c>
      <c r="D36" s="67" t="e">
        <f>#REF!</f>
        <v>#REF!</v>
      </c>
      <c r="E36" s="67" t="e">
        <f>#REF!</f>
        <v>#REF!</v>
      </c>
      <c r="F36" s="67" t="e">
        <f>#REF!</f>
        <v>#REF!</v>
      </c>
      <c r="G36" s="67" t="e">
        <f>#REF!</f>
        <v>#REF!</v>
      </c>
      <c r="H36" s="67" t="e">
        <f>#REF!</f>
        <v>#REF!</v>
      </c>
      <c r="I36" s="51" t="e">
        <f>#REF!</f>
        <v>#REF!</v>
      </c>
      <c r="J36" s="48" t="e">
        <f>#REF!</f>
        <v>#REF!</v>
      </c>
      <c r="K36" s="61" t="s">
        <v>12</v>
      </c>
      <c r="L36" s="48" t="s">
        <v>30</v>
      </c>
    </row>
    <row r="37" spans="1:12" s="44" customFormat="1" ht="24.75" customHeight="1">
      <c r="A37" s="48">
        <v>26</v>
      </c>
      <c r="B37" s="49" t="s">
        <v>84</v>
      </c>
      <c r="C37" s="48" t="s">
        <v>85</v>
      </c>
      <c r="D37" s="65" t="e">
        <f>#REF!</f>
        <v>#REF!</v>
      </c>
      <c r="E37" s="65" t="e">
        <f>#REF!</f>
        <v>#REF!</v>
      </c>
      <c r="F37" s="65" t="e">
        <f>#REF!</f>
        <v>#REF!</v>
      </c>
      <c r="G37" s="65" t="e">
        <f>#REF!</f>
        <v>#REF!</v>
      </c>
      <c r="H37" s="65" t="e">
        <f>#REF!</f>
        <v>#REF!</v>
      </c>
      <c r="I37" s="68" t="e">
        <f>#REF!</f>
        <v>#REF!</v>
      </c>
      <c r="J37" s="48" t="e">
        <f>#REF!</f>
        <v>#REF!</v>
      </c>
      <c r="K37" s="48">
        <v>100</v>
      </c>
      <c r="L37" s="48" t="s">
        <v>78</v>
      </c>
    </row>
    <row r="38" spans="1:12" s="44" customFormat="1" ht="24.75" customHeight="1">
      <c r="A38" s="48">
        <v>27</v>
      </c>
      <c r="B38" s="49" t="s">
        <v>86</v>
      </c>
      <c r="C38" s="48" t="s">
        <v>87</v>
      </c>
      <c r="D38" s="50" t="e">
        <f>#REF!</f>
        <v>#REF!</v>
      </c>
      <c r="E38" s="50" t="e">
        <f>#REF!</f>
        <v>#REF!</v>
      </c>
      <c r="F38" s="50" t="e">
        <f>#REF!</f>
        <v>#REF!</v>
      </c>
      <c r="G38" s="50" t="e">
        <f>#REF!</f>
        <v>#REF!</v>
      </c>
      <c r="H38" s="50" t="e">
        <f>#REF!</f>
        <v>#REF!</v>
      </c>
      <c r="I38" s="50" t="e">
        <f>#REF!</f>
        <v>#REF!</v>
      </c>
      <c r="J38" s="124" t="e">
        <f>#REF!</f>
        <v>#REF!</v>
      </c>
      <c r="K38" s="48">
        <v>9.5</v>
      </c>
      <c r="L38" s="48" t="s">
        <v>42</v>
      </c>
    </row>
    <row r="39" spans="1:12" s="44" customFormat="1" ht="24.75" customHeight="1">
      <c r="A39" s="48" t="s">
        <v>88</v>
      </c>
      <c r="B39" s="49" t="s">
        <v>89</v>
      </c>
      <c r="C39" s="48"/>
      <c r="D39" s="50"/>
      <c r="E39" s="50"/>
      <c r="F39" s="48"/>
      <c r="G39" s="48"/>
      <c r="H39" s="48"/>
      <c r="I39" s="48"/>
      <c r="J39" s="48"/>
      <c r="K39" s="48"/>
      <c r="L39" s="48"/>
    </row>
    <row r="40" spans="1:12" s="44" customFormat="1" ht="24.75" customHeight="1">
      <c r="A40" s="48">
        <v>28</v>
      </c>
      <c r="B40" s="49" t="s">
        <v>90</v>
      </c>
      <c r="C40" s="48" t="s">
        <v>5</v>
      </c>
      <c r="D40" s="50" t="e">
        <f>#REF!</f>
        <v>#REF!</v>
      </c>
      <c r="E40" s="50" t="e">
        <f>#REF!</f>
        <v>#REF!</v>
      </c>
      <c r="F40" s="50" t="e">
        <f>#REF!</f>
        <v>#REF!</v>
      </c>
      <c r="G40" s="50" t="e">
        <f>#REF!</f>
        <v>#REF!</v>
      </c>
      <c r="H40" s="50" t="e">
        <f>#REF!</f>
        <v>#REF!</v>
      </c>
      <c r="I40" s="59" t="e">
        <f>+#REF!</f>
        <v>#REF!</v>
      </c>
      <c r="J40" s="48" t="e">
        <f>#REF!</f>
        <v>#REF!</v>
      </c>
      <c r="K40" s="48">
        <v>40.6</v>
      </c>
      <c r="L40" s="48" t="s">
        <v>42</v>
      </c>
    </row>
    <row r="41" spans="1:12" s="44" customFormat="1" ht="34.5" customHeight="1">
      <c r="A41" s="48">
        <v>29</v>
      </c>
      <c r="B41" s="49" t="s">
        <v>91</v>
      </c>
      <c r="C41" s="48" t="s">
        <v>5</v>
      </c>
      <c r="D41" s="60" t="e">
        <f>#REF!</f>
        <v>#REF!</v>
      </c>
      <c r="E41" s="60" t="e">
        <f>#REF!</f>
        <v>#REF!</v>
      </c>
      <c r="F41" s="60" t="e">
        <f>#REF!</f>
        <v>#REF!</v>
      </c>
      <c r="G41" s="60" t="e">
        <f>#REF!</f>
        <v>#REF!</v>
      </c>
      <c r="H41" s="60" t="e">
        <f>#REF!</f>
        <v>#REF!</v>
      </c>
      <c r="I41" s="51" t="e">
        <f>+#REF!</f>
        <v>#REF!</v>
      </c>
      <c r="J41" s="48" t="e">
        <f>#REF!</f>
        <v>#REF!</v>
      </c>
      <c r="K41" s="48">
        <v>84</v>
      </c>
      <c r="L41" s="48" t="s">
        <v>78</v>
      </c>
    </row>
    <row r="42" spans="1:12" s="44" customFormat="1" ht="31.5" customHeight="1">
      <c r="A42" s="48">
        <v>30</v>
      </c>
      <c r="B42" s="49" t="s">
        <v>92</v>
      </c>
      <c r="C42" s="48" t="s">
        <v>5</v>
      </c>
      <c r="D42" s="60" t="e">
        <f>#REF!</f>
        <v>#REF!</v>
      </c>
      <c r="E42" s="60" t="e">
        <f>#REF!</f>
        <v>#REF!</v>
      </c>
      <c r="F42" s="60" t="e">
        <f>#REF!</f>
        <v>#REF!</v>
      </c>
      <c r="G42" s="60" t="e">
        <f>#REF!</f>
        <v>#REF!</v>
      </c>
      <c r="H42" s="60" t="e">
        <f>#REF!</f>
        <v>#REF!</v>
      </c>
      <c r="I42" s="60" t="e">
        <f>#REF!</f>
        <v>#REF!</v>
      </c>
      <c r="J42" s="48" t="e">
        <f>#REF!</f>
        <v>#REF!</v>
      </c>
      <c r="K42" s="48">
        <v>95</v>
      </c>
      <c r="L42" s="48" t="s">
        <v>30</v>
      </c>
    </row>
    <row r="43" spans="1:12" s="41" customFormat="1" ht="17.25" thickBot="1">
      <c r="A43" s="42"/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</row>
    <row r="44" ht="13.5" thickTop="1"/>
  </sheetData>
  <sheetProtection/>
  <mergeCells count="14">
    <mergeCell ref="I4:I5"/>
    <mergeCell ref="J4:K4"/>
    <mergeCell ref="L4:L5"/>
    <mergeCell ref="E4:E5"/>
    <mergeCell ref="D4:D5"/>
    <mergeCell ref="F4:F5"/>
    <mergeCell ref="G4:G5"/>
    <mergeCell ref="H4:H5"/>
    <mergeCell ref="A30:L30"/>
    <mergeCell ref="A1:L1"/>
    <mergeCell ref="A2:L2"/>
    <mergeCell ref="A4:A5"/>
    <mergeCell ref="B4:B5"/>
    <mergeCell ref="C4:C5"/>
  </mergeCells>
  <printOptions/>
  <pageMargins left="0.62" right="0.41" top="0.9" bottom="1.2" header="0.43" footer="0.5"/>
  <pageSetup horizontalDpi="300" verticalDpi="300" orientation="landscape" paperSize="9" scale="95" r:id="rId3"/>
  <headerFooter alignWithMargins="0">
    <oddFooter>&amp;C&amp;P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4"/>
  <sheetViews>
    <sheetView zoomScalePageLayoutView="0" workbookViewId="0" topLeftCell="A1">
      <selection activeCell="C40" sqref="C40"/>
    </sheetView>
  </sheetViews>
  <sheetFormatPr defaultColWidth="9.140625" defaultRowHeight="15" customHeight="1"/>
  <cols>
    <col min="1" max="1" width="6.8515625" style="207" customWidth="1"/>
    <col min="2" max="2" width="5.421875" style="207" customWidth="1"/>
    <col min="3" max="3" width="41.421875" style="206" customWidth="1"/>
    <col min="4" max="9" width="8.8515625" style="206" hidden="1" customWidth="1"/>
    <col min="10" max="15" width="14.421875" style="206" customWidth="1"/>
    <col min="16" max="18" width="9.140625" style="206" customWidth="1"/>
    <col min="19" max="19" width="11.57421875" style="206" bestFit="1" customWidth="1"/>
    <col min="20" max="16384" width="9.140625" style="206" customWidth="1"/>
  </cols>
  <sheetData>
    <row r="1" spans="1:15" ht="23.25" customHeight="1">
      <c r="A1" s="1264" t="s">
        <v>279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</row>
    <row r="2" spans="1:15" ht="49.5" customHeight="1">
      <c r="A2" s="1265" t="s">
        <v>283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</row>
    <row r="3" spans="1:15" ht="15" customHeight="1">
      <c r="A3" s="1266"/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</row>
    <row r="4" spans="3:15" ht="21" customHeight="1">
      <c r="C4" s="208"/>
      <c r="D4" s="208"/>
      <c r="E4" s="208"/>
      <c r="F4" s="208"/>
      <c r="G4" s="208"/>
      <c r="H4" s="208"/>
      <c r="I4" s="208"/>
      <c r="J4" s="208"/>
      <c r="K4" s="208"/>
      <c r="L4" s="209"/>
      <c r="M4" s="1267" t="s">
        <v>285</v>
      </c>
      <c r="N4" s="1267"/>
      <c r="O4" s="1267"/>
    </row>
    <row r="5" spans="1:15" s="212" customFormat="1" ht="38.25" customHeight="1">
      <c r="A5" s="210" t="s">
        <v>0</v>
      </c>
      <c r="B5" s="1251" t="s">
        <v>277</v>
      </c>
      <c r="C5" s="1252"/>
      <c r="D5" s="210">
        <v>2000</v>
      </c>
      <c r="E5" s="210">
        <v>2001</v>
      </c>
      <c r="F5" s="210">
        <v>2002</v>
      </c>
      <c r="G5" s="210">
        <v>2003</v>
      </c>
      <c r="H5" s="210">
        <v>2004</v>
      </c>
      <c r="I5" s="210">
        <v>2005</v>
      </c>
      <c r="J5" s="210" t="s">
        <v>276</v>
      </c>
      <c r="K5" s="210">
        <v>2011</v>
      </c>
      <c r="L5" s="211">
        <v>2012</v>
      </c>
      <c r="M5" s="210">
        <v>2013</v>
      </c>
      <c r="N5" s="211">
        <v>2014</v>
      </c>
      <c r="O5" s="210">
        <v>2015</v>
      </c>
    </row>
    <row r="6" spans="1:15" s="212" customFormat="1" ht="27" customHeight="1">
      <c r="A6" s="213"/>
      <c r="B6" s="1253" t="s">
        <v>215</v>
      </c>
      <c r="C6" s="1254"/>
      <c r="D6" s="214"/>
      <c r="E6" s="214"/>
      <c r="F6" s="214"/>
      <c r="G6" s="214"/>
      <c r="H6" s="214"/>
      <c r="I6" s="214"/>
      <c r="J6" s="343" t="e">
        <f>+K6+L6+M6+N6+O6</f>
        <v>#REF!</v>
      </c>
      <c r="K6" s="215" t="e">
        <f>+K8+K10+K23</f>
        <v>#REF!</v>
      </c>
      <c r="L6" s="215" t="e">
        <f>+L8+L10+L23</f>
        <v>#REF!</v>
      </c>
      <c r="M6" s="215" t="e">
        <f>+M8+M10+M23</f>
        <v>#REF!</v>
      </c>
      <c r="N6" s="215" t="e">
        <f>+N8+N10+N23</f>
        <v>#REF!</v>
      </c>
      <c r="O6" s="215" t="e">
        <f>+O8+O10+O23</f>
        <v>#REF!</v>
      </c>
    </row>
    <row r="7" spans="1:22" ht="30" customHeight="1" hidden="1">
      <c r="A7" s="216"/>
      <c r="B7" s="1260"/>
      <c r="C7" s="1261"/>
      <c r="D7" s="344"/>
      <c r="E7" s="345"/>
      <c r="F7" s="345"/>
      <c r="G7" s="345"/>
      <c r="H7" s="345"/>
      <c r="I7" s="345"/>
      <c r="J7" s="346" t="e">
        <f aca="true" t="shared" si="0" ref="J7:O7">+J9+J14+J16+J18+J20+J22+J27+J29+J31+J33+J35+J37+J39+J41+J43+J45+J47+J49+J51</f>
        <v>#REF!</v>
      </c>
      <c r="K7" s="346" t="e">
        <f t="shared" si="0"/>
        <v>#REF!</v>
      </c>
      <c r="L7" s="346" t="e">
        <f t="shared" si="0"/>
        <v>#REF!</v>
      </c>
      <c r="M7" s="347" t="e">
        <f t="shared" si="0"/>
        <v>#REF!</v>
      </c>
      <c r="N7" s="346" t="e">
        <f t="shared" si="0"/>
        <v>#REF!</v>
      </c>
      <c r="O7" s="346" t="e">
        <f t="shared" si="0"/>
        <v>#REF!</v>
      </c>
      <c r="P7" s="217"/>
      <c r="Q7" s="218"/>
      <c r="S7" s="219"/>
      <c r="T7" s="218"/>
      <c r="V7" s="219"/>
    </row>
    <row r="8" spans="1:22" ht="18" customHeight="1">
      <c r="A8" s="216">
        <v>1</v>
      </c>
      <c r="B8" s="1262" t="s">
        <v>216</v>
      </c>
      <c r="C8" s="1263"/>
      <c r="D8" s="348" t="e">
        <f>+#REF!+#REF!</f>
        <v>#REF!</v>
      </c>
      <c r="E8" s="349" t="e">
        <f>+#REF!+#REF!</f>
        <v>#REF!</v>
      </c>
      <c r="F8" s="349" t="e">
        <f>+#REF!+#REF!</f>
        <v>#REF!</v>
      </c>
      <c r="G8" s="349" t="e">
        <f>+#REF!+#REF!</f>
        <v>#REF!</v>
      </c>
      <c r="H8" s="349" t="e">
        <f>+#REF!+#REF!</f>
        <v>#REF!</v>
      </c>
      <c r="I8" s="349" t="e">
        <f>+#REF!+#REF!</f>
        <v>#REF!</v>
      </c>
      <c r="J8" s="350" t="e">
        <f>+K8+L8+M8+N8+O8</f>
        <v>#REF!</v>
      </c>
      <c r="K8" s="350" t="e">
        <f>+K$54*K9/100</f>
        <v>#REF!</v>
      </c>
      <c r="L8" s="350" t="e">
        <f>+L$54*L9/100</f>
        <v>#REF!</v>
      </c>
      <c r="M8" s="351" t="e">
        <f>+M$54*M9/100</f>
        <v>#REF!</v>
      </c>
      <c r="N8" s="350" t="e">
        <f>+N$54*N9/100</f>
        <v>#REF!</v>
      </c>
      <c r="O8" s="350" t="e">
        <f>+O$54*O9/100</f>
        <v>#REF!</v>
      </c>
      <c r="P8" s="219"/>
      <c r="Q8" s="218"/>
      <c r="S8" s="219"/>
      <c r="T8" s="218"/>
      <c r="V8" s="219"/>
    </row>
    <row r="9" spans="1:22" s="223" customFormat="1" ht="18" customHeight="1">
      <c r="A9" s="220"/>
      <c r="B9" s="1257" t="s">
        <v>217</v>
      </c>
      <c r="C9" s="1250"/>
      <c r="D9" s="352"/>
      <c r="E9" s="353"/>
      <c r="F9" s="353"/>
      <c r="G9" s="353"/>
      <c r="H9" s="353"/>
      <c r="I9" s="353"/>
      <c r="J9" s="354">
        <v>6.2</v>
      </c>
      <c r="K9" s="354">
        <v>6.2</v>
      </c>
      <c r="L9" s="354">
        <v>6.2</v>
      </c>
      <c r="M9" s="355">
        <v>6.2</v>
      </c>
      <c r="N9" s="354">
        <v>6.2</v>
      </c>
      <c r="O9" s="354">
        <v>6.2</v>
      </c>
      <c r="P9" s="221"/>
      <c r="Q9" s="222"/>
      <c r="S9" s="221"/>
      <c r="T9" s="222"/>
      <c r="V9" s="221"/>
    </row>
    <row r="10" spans="1:22" ht="18" customHeight="1">
      <c r="A10" s="216">
        <v>2</v>
      </c>
      <c r="B10" s="1262" t="s">
        <v>218</v>
      </c>
      <c r="C10" s="1263"/>
      <c r="D10" s="348"/>
      <c r="E10" s="349"/>
      <c r="F10" s="349"/>
      <c r="G10" s="349"/>
      <c r="H10" s="349"/>
      <c r="I10" s="349"/>
      <c r="J10" s="350" t="e">
        <f>+J13+J15+J17+J19+J21</f>
        <v>#REF!</v>
      </c>
      <c r="K10" s="350" t="e">
        <f aca="true" t="shared" si="1" ref="K10:O11">+K13+K15+K17+K19+K21</f>
        <v>#REF!</v>
      </c>
      <c r="L10" s="350" t="e">
        <f t="shared" si="1"/>
        <v>#REF!</v>
      </c>
      <c r="M10" s="351" t="e">
        <f t="shared" si="1"/>
        <v>#REF!</v>
      </c>
      <c r="N10" s="350" t="e">
        <f t="shared" si="1"/>
        <v>#REF!</v>
      </c>
      <c r="O10" s="350" t="e">
        <f t="shared" si="1"/>
        <v>#REF!</v>
      </c>
      <c r="P10" s="219"/>
      <c r="Q10" s="218"/>
      <c r="S10" s="219"/>
      <c r="T10" s="218"/>
      <c r="V10" s="219"/>
    </row>
    <row r="11" spans="1:15" s="223" customFormat="1" ht="18" customHeight="1">
      <c r="A11" s="220"/>
      <c r="B11" s="1249" t="s">
        <v>217</v>
      </c>
      <c r="C11" s="1250"/>
      <c r="D11" s="353"/>
      <c r="E11" s="353"/>
      <c r="F11" s="353"/>
      <c r="G11" s="353"/>
      <c r="H11" s="353"/>
      <c r="I11" s="353"/>
      <c r="J11" s="354" t="e">
        <f>+J14+J16+J18+J20+J22</f>
        <v>#REF!</v>
      </c>
      <c r="K11" s="354">
        <f t="shared" si="1"/>
        <v>41.8</v>
      </c>
      <c r="L11" s="354">
        <f t="shared" si="1"/>
        <v>42.5</v>
      </c>
      <c r="M11" s="354">
        <f t="shared" si="1"/>
        <v>43.3</v>
      </c>
      <c r="N11" s="354">
        <f t="shared" si="1"/>
        <v>44.00000000000001</v>
      </c>
      <c r="O11" s="354">
        <f t="shared" si="1"/>
        <v>44.800000000000004</v>
      </c>
    </row>
    <row r="12" spans="1:15" s="223" customFormat="1" ht="18" customHeight="1">
      <c r="A12" s="220"/>
      <c r="B12" s="1249" t="s">
        <v>214</v>
      </c>
      <c r="C12" s="1250"/>
      <c r="D12" s="353"/>
      <c r="E12" s="353"/>
      <c r="F12" s="353"/>
      <c r="G12" s="353"/>
      <c r="H12" s="353"/>
      <c r="I12" s="353"/>
      <c r="J12" s="354"/>
      <c r="K12" s="354"/>
      <c r="L12" s="354"/>
      <c r="M12" s="354"/>
      <c r="N12" s="354"/>
      <c r="O12" s="354"/>
    </row>
    <row r="13" spans="1:15" ht="27" customHeight="1">
      <c r="A13" s="224"/>
      <c r="B13" s="225"/>
      <c r="C13" s="226" t="s">
        <v>220</v>
      </c>
      <c r="D13" s="227">
        <v>9588</v>
      </c>
      <c r="E13" s="227">
        <v>8141.1</v>
      </c>
      <c r="F13" s="227">
        <v>7964</v>
      </c>
      <c r="G13" s="227">
        <v>11342</v>
      </c>
      <c r="H13" s="227">
        <v>22477</v>
      </c>
      <c r="I13" s="227">
        <v>26862</v>
      </c>
      <c r="J13" s="237" t="e">
        <f>+K13+L13+M13+N13+O13</f>
        <v>#REF!</v>
      </c>
      <c r="K13" s="237" t="e">
        <f>+K$54*K14/100</f>
        <v>#REF!</v>
      </c>
      <c r="L13" s="237" t="e">
        <f>+L$54*L14/100</f>
        <v>#REF!</v>
      </c>
      <c r="M13" s="237" t="e">
        <f>+M$54*M14/100</f>
        <v>#REF!</v>
      </c>
      <c r="N13" s="237" t="e">
        <f>+N$54*N14/100</f>
        <v>#REF!</v>
      </c>
      <c r="O13" s="237" t="e">
        <f>+O$54*O14/100</f>
        <v>#REF!</v>
      </c>
    </row>
    <row r="14" spans="1:15" s="223" customFormat="1" ht="26.25" customHeight="1">
      <c r="A14" s="228"/>
      <c r="B14" s="229"/>
      <c r="C14" s="230" t="s">
        <v>217</v>
      </c>
      <c r="D14" s="356"/>
      <c r="E14" s="356"/>
      <c r="F14" s="356"/>
      <c r="G14" s="356"/>
      <c r="H14" s="356"/>
      <c r="I14" s="356"/>
      <c r="J14" s="357" t="e">
        <f>100*J13/J$54</f>
        <v>#REF!</v>
      </c>
      <c r="K14" s="357">
        <v>8.2</v>
      </c>
      <c r="L14" s="357">
        <v>7.8</v>
      </c>
      <c r="M14" s="357">
        <v>7.4</v>
      </c>
      <c r="N14" s="357">
        <v>7</v>
      </c>
      <c r="O14" s="357">
        <v>6.6</v>
      </c>
    </row>
    <row r="15" spans="1:19" ht="25.5" customHeight="1">
      <c r="A15" s="224"/>
      <c r="B15" s="225"/>
      <c r="C15" s="226" t="s">
        <v>221</v>
      </c>
      <c r="D15" s="227">
        <v>29172</v>
      </c>
      <c r="E15" s="227">
        <v>38140.5</v>
      </c>
      <c r="F15" s="227">
        <v>45337</v>
      </c>
      <c r="G15" s="227">
        <v>51060</v>
      </c>
      <c r="H15" s="227">
        <v>58715</v>
      </c>
      <c r="I15" s="227">
        <v>68297</v>
      </c>
      <c r="J15" s="237" t="e">
        <f>+K15+L15+M15+N15+O15</f>
        <v>#REF!</v>
      </c>
      <c r="K15" s="237" t="e">
        <f>+K$54*K16/100</f>
        <v>#REF!</v>
      </c>
      <c r="L15" s="237" t="e">
        <f>+L$54*L16/100</f>
        <v>#REF!</v>
      </c>
      <c r="M15" s="237" t="e">
        <f>+M$54*M16/100</f>
        <v>#REF!</v>
      </c>
      <c r="N15" s="237" t="e">
        <f>+N$54*N16/100</f>
        <v>#REF!</v>
      </c>
      <c r="O15" s="237" t="e">
        <f>+O$54*O16/100</f>
        <v>#REF!</v>
      </c>
      <c r="R15" s="206">
        <v>43550</v>
      </c>
      <c r="S15" s="231" t="e">
        <f>+L17+L19</f>
        <v>#REF!</v>
      </c>
    </row>
    <row r="16" spans="1:15" s="223" customFormat="1" ht="24" customHeight="1">
      <c r="A16" s="228"/>
      <c r="B16" s="229"/>
      <c r="C16" s="230" t="s">
        <v>217</v>
      </c>
      <c r="D16" s="356"/>
      <c r="E16" s="356"/>
      <c r="F16" s="356"/>
      <c r="G16" s="356"/>
      <c r="H16" s="356"/>
      <c r="I16" s="356"/>
      <c r="J16" s="357" t="e">
        <f>100*J15/J$54</f>
        <v>#REF!</v>
      </c>
      <c r="K16" s="357">
        <v>17.5</v>
      </c>
      <c r="L16" s="357">
        <v>18</v>
      </c>
      <c r="M16" s="357">
        <v>18.5</v>
      </c>
      <c r="N16" s="357">
        <v>19</v>
      </c>
      <c r="O16" s="357">
        <v>19.5</v>
      </c>
    </row>
    <row r="17" spans="1:19" ht="39" customHeight="1">
      <c r="A17" s="224"/>
      <c r="B17" s="225"/>
      <c r="C17" s="226" t="s">
        <v>222</v>
      </c>
      <c r="D17" s="227">
        <v>16983</v>
      </c>
      <c r="E17" s="227">
        <v>16921.6</v>
      </c>
      <c r="F17" s="227">
        <v>20943</v>
      </c>
      <c r="G17" s="227">
        <v>24884</v>
      </c>
      <c r="H17" s="227">
        <v>31983</v>
      </c>
      <c r="I17" s="227">
        <v>37743</v>
      </c>
      <c r="J17" s="237" t="e">
        <f>+K17+L17+M17+N17+O17</f>
        <v>#REF!</v>
      </c>
      <c r="K17" s="237" t="e">
        <f>+K$54*K18/100</f>
        <v>#REF!</v>
      </c>
      <c r="L17" s="237" t="e">
        <f>+L$54*L18/100</f>
        <v>#REF!</v>
      </c>
      <c r="M17" s="237" t="e">
        <f>+M$54*M18/100</f>
        <v>#REF!</v>
      </c>
      <c r="N17" s="237" t="e">
        <f>+N$54*N18/100</f>
        <v>#REF!</v>
      </c>
      <c r="O17" s="237" t="e">
        <f>+O$54*O18/100</f>
        <v>#REF!</v>
      </c>
      <c r="S17" s="206" t="e">
        <f>+L17/S15</f>
        <v>#REF!</v>
      </c>
    </row>
    <row r="18" spans="1:15" s="223" customFormat="1" ht="22.5" customHeight="1">
      <c r="A18" s="228"/>
      <c r="B18" s="229"/>
      <c r="C18" s="230" t="s">
        <v>217</v>
      </c>
      <c r="D18" s="356"/>
      <c r="E18" s="356"/>
      <c r="F18" s="356"/>
      <c r="G18" s="356"/>
      <c r="H18" s="356"/>
      <c r="I18" s="356"/>
      <c r="J18" s="357" t="e">
        <f>100*J17/J$54</f>
        <v>#REF!</v>
      </c>
      <c r="K18" s="357">
        <v>9.5</v>
      </c>
      <c r="L18" s="357">
        <v>9.7</v>
      </c>
      <c r="M18" s="357">
        <v>10</v>
      </c>
      <c r="N18" s="357">
        <v>10.2</v>
      </c>
      <c r="O18" s="357">
        <v>10.5</v>
      </c>
    </row>
    <row r="19" spans="1:19" ht="36.75" customHeight="1">
      <c r="A19" s="224"/>
      <c r="B19" s="225"/>
      <c r="C19" s="226" t="s">
        <v>223</v>
      </c>
      <c r="D19" s="227"/>
      <c r="E19" s="227"/>
      <c r="F19" s="227"/>
      <c r="G19" s="227"/>
      <c r="H19" s="227"/>
      <c r="I19" s="227"/>
      <c r="J19" s="237" t="e">
        <f>+K19+L19+M19+N19+O19</f>
        <v>#REF!</v>
      </c>
      <c r="K19" s="237" t="e">
        <f>+K$54*K20/100</f>
        <v>#REF!</v>
      </c>
      <c r="L19" s="237" t="e">
        <f>+L$54*L20/100</f>
        <v>#REF!</v>
      </c>
      <c r="M19" s="237" t="e">
        <f>+M$54*M20/100</f>
        <v>#REF!</v>
      </c>
      <c r="N19" s="237" t="e">
        <f>+N$54*N20/100</f>
        <v>#REF!</v>
      </c>
      <c r="O19" s="237" t="e">
        <f>+O$54*O20/100</f>
        <v>#REF!</v>
      </c>
      <c r="S19" s="206" t="e">
        <f>+L19/S15</f>
        <v>#REF!</v>
      </c>
    </row>
    <row r="20" spans="1:15" s="223" customFormat="1" ht="18" customHeight="1">
      <c r="A20" s="228"/>
      <c r="B20" s="229"/>
      <c r="C20" s="230" t="s">
        <v>217</v>
      </c>
      <c r="D20" s="356"/>
      <c r="E20" s="356"/>
      <c r="F20" s="356"/>
      <c r="G20" s="356"/>
      <c r="H20" s="356"/>
      <c r="I20" s="356"/>
      <c r="J20" s="357" t="e">
        <f>100*J19/J$54</f>
        <v>#REF!</v>
      </c>
      <c r="K20" s="357">
        <v>2.8</v>
      </c>
      <c r="L20" s="357">
        <v>2.9</v>
      </c>
      <c r="M20" s="357">
        <v>3</v>
      </c>
      <c r="N20" s="357">
        <v>3.1</v>
      </c>
      <c r="O20" s="357">
        <v>3.2</v>
      </c>
    </row>
    <row r="21" spans="1:15" ht="24.75" customHeight="1">
      <c r="A21" s="224"/>
      <c r="B21" s="225"/>
      <c r="C21" s="226" t="s">
        <v>224</v>
      </c>
      <c r="D21" s="227">
        <v>3563</v>
      </c>
      <c r="E21" s="227">
        <v>9045.8</v>
      </c>
      <c r="F21" s="227">
        <v>10490</v>
      </c>
      <c r="G21" s="227">
        <v>11508</v>
      </c>
      <c r="H21" s="227">
        <v>11197</v>
      </c>
      <c r="I21" s="227">
        <v>13202</v>
      </c>
      <c r="J21" s="237" t="e">
        <f>+K21+L21+M21+N21+O21</f>
        <v>#REF!</v>
      </c>
      <c r="K21" s="237" t="e">
        <f>+K$54*K22/100</f>
        <v>#REF!</v>
      </c>
      <c r="L21" s="237" t="e">
        <f>+L$54*L22/100</f>
        <v>#REF!</v>
      </c>
      <c r="M21" s="237" t="e">
        <f>+M$54*M22/100</f>
        <v>#REF!</v>
      </c>
      <c r="N21" s="237" t="e">
        <f>+N$54*N22/100</f>
        <v>#REF!</v>
      </c>
      <c r="O21" s="237" t="e">
        <f>+O$54*O22/100</f>
        <v>#REF!</v>
      </c>
    </row>
    <row r="22" spans="1:22" s="223" customFormat="1" ht="21" customHeight="1">
      <c r="A22" s="220"/>
      <c r="B22" s="232"/>
      <c r="C22" s="230" t="s">
        <v>217</v>
      </c>
      <c r="D22" s="352"/>
      <c r="E22" s="353"/>
      <c r="F22" s="353"/>
      <c r="G22" s="353"/>
      <c r="H22" s="353"/>
      <c r="I22" s="353"/>
      <c r="J22" s="358" t="e">
        <f>100*J21/J$54</f>
        <v>#REF!</v>
      </c>
      <c r="K22" s="354">
        <v>3.8</v>
      </c>
      <c r="L22" s="354">
        <v>4.1</v>
      </c>
      <c r="M22" s="355">
        <v>4.4</v>
      </c>
      <c r="N22" s="354">
        <v>4.7</v>
      </c>
      <c r="O22" s="354">
        <v>5</v>
      </c>
      <c r="P22" s="221"/>
      <c r="Q22" s="222"/>
      <c r="S22" s="221"/>
      <c r="T22" s="222"/>
      <c r="V22" s="221"/>
    </row>
    <row r="23" spans="1:20" s="223" customFormat="1" ht="23.25" customHeight="1">
      <c r="A23" s="224">
        <v>3</v>
      </c>
      <c r="B23" s="1255" t="s">
        <v>149</v>
      </c>
      <c r="C23" s="1256"/>
      <c r="D23" s="352"/>
      <c r="E23" s="353"/>
      <c r="F23" s="353"/>
      <c r="G23" s="353"/>
      <c r="H23" s="353"/>
      <c r="I23" s="353"/>
      <c r="J23" s="359" t="e">
        <f aca="true" t="shared" si="2" ref="J23:O24">+J26+J28+J30+J32+J34+J36+J38+J40+J44+J46+J50</f>
        <v>#REF!</v>
      </c>
      <c r="K23" s="350" t="e">
        <f t="shared" si="2"/>
        <v>#REF!</v>
      </c>
      <c r="L23" s="350" t="e">
        <f t="shared" si="2"/>
        <v>#REF!</v>
      </c>
      <c r="M23" s="351" t="e">
        <f t="shared" si="2"/>
        <v>#REF!</v>
      </c>
      <c r="N23" s="350" t="e">
        <f t="shared" si="2"/>
        <v>#REF!</v>
      </c>
      <c r="O23" s="350" t="e">
        <f t="shared" si="2"/>
        <v>#REF!</v>
      </c>
      <c r="P23" s="221"/>
      <c r="Q23" s="222"/>
      <c r="S23" s="221"/>
      <c r="T23" s="222"/>
    </row>
    <row r="24" spans="1:22" s="223" customFormat="1" ht="18" customHeight="1">
      <c r="A24" s="228"/>
      <c r="B24" s="1257" t="s">
        <v>217</v>
      </c>
      <c r="C24" s="1250"/>
      <c r="D24" s="352"/>
      <c r="E24" s="353"/>
      <c r="F24" s="353"/>
      <c r="G24" s="353"/>
      <c r="H24" s="353"/>
      <c r="I24" s="353"/>
      <c r="J24" s="358" t="e">
        <f t="shared" si="2"/>
        <v>#REF!</v>
      </c>
      <c r="K24" s="354" t="e">
        <f t="shared" si="2"/>
        <v>#REF!</v>
      </c>
      <c r="L24" s="354" t="e">
        <f t="shared" si="2"/>
        <v>#REF!</v>
      </c>
      <c r="M24" s="355" t="e">
        <f t="shared" si="2"/>
        <v>#REF!</v>
      </c>
      <c r="N24" s="354" t="e">
        <f t="shared" si="2"/>
        <v>#REF!</v>
      </c>
      <c r="O24" s="354" t="e">
        <f t="shared" si="2"/>
        <v>#REF!</v>
      </c>
      <c r="P24" s="221"/>
      <c r="Q24" s="222"/>
      <c r="S24" s="221"/>
      <c r="T24" s="222"/>
      <c r="V24" s="221"/>
    </row>
    <row r="25" spans="1:20" s="223" customFormat="1" ht="18" customHeight="1">
      <c r="A25" s="228"/>
      <c r="B25" s="1258" t="s">
        <v>219</v>
      </c>
      <c r="C25" s="1259"/>
      <c r="D25" s="353"/>
      <c r="E25" s="353"/>
      <c r="F25" s="353"/>
      <c r="G25" s="353"/>
      <c r="H25" s="353"/>
      <c r="I25" s="353"/>
      <c r="J25" s="354"/>
      <c r="K25" s="354"/>
      <c r="L25" s="354"/>
      <c r="M25" s="355"/>
      <c r="N25" s="354"/>
      <c r="O25" s="354"/>
      <c r="P25" s="221"/>
      <c r="Q25" s="222"/>
      <c r="S25" s="221"/>
      <c r="T25" s="222"/>
    </row>
    <row r="26" spans="1:22" ht="36" customHeight="1">
      <c r="A26" s="224"/>
      <c r="B26" s="233"/>
      <c r="C26" s="226" t="s">
        <v>225</v>
      </c>
      <c r="D26" s="234">
        <v>3035</v>
      </c>
      <c r="E26" s="227">
        <v>7953</v>
      </c>
      <c r="F26" s="227">
        <v>11962</v>
      </c>
      <c r="G26" s="227">
        <v>14763</v>
      </c>
      <c r="H26" s="227">
        <v>15659</v>
      </c>
      <c r="I26" s="227">
        <v>18359</v>
      </c>
      <c r="J26" s="237" t="e">
        <f>+K26+L26+M26+N26+O26</f>
        <v>#REF!</v>
      </c>
      <c r="K26" s="237" t="e">
        <f>+K$54*K27/100</f>
        <v>#REF!</v>
      </c>
      <c r="L26" s="237" t="e">
        <f>+L$54*L27/100</f>
        <v>#REF!</v>
      </c>
      <c r="M26" s="360" t="e">
        <f>+M$54*M27/100</f>
        <v>#REF!</v>
      </c>
      <c r="N26" s="237" t="e">
        <f>+N$54*N27/100</f>
        <v>#REF!</v>
      </c>
      <c r="O26" s="237" t="e">
        <f>+O$54*O27/100</f>
        <v>#REF!</v>
      </c>
      <c r="P26" s="219"/>
      <c r="Q26" s="218"/>
      <c r="R26" s="206">
        <v>58410</v>
      </c>
      <c r="S26" s="235" t="e">
        <f>+L28+L32</f>
        <v>#REF!</v>
      </c>
      <c r="T26" s="218"/>
      <c r="V26" s="219"/>
    </row>
    <row r="27" spans="1:15" s="223" customFormat="1" ht="18" customHeight="1">
      <c r="A27" s="228"/>
      <c r="B27" s="229"/>
      <c r="C27" s="230" t="s">
        <v>217</v>
      </c>
      <c r="D27" s="356"/>
      <c r="E27" s="356"/>
      <c r="F27" s="356"/>
      <c r="G27" s="356"/>
      <c r="H27" s="356"/>
      <c r="I27" s="356"/>
      <c r="J27" s="357" t="e">
        <f>100*J26/J$54</f>
        <v>#REF!</v>
      </c>
      <c r="K27" s="357">
        <v>4.2</v>
      </c>
      <c r="L27" s="357">
        <v>4.2</v>
      </c>
      <c r="M27" s="357">
        <v>4.2</v>
      </c>
      <c r="N27" s="357">
        <v>4.2</v>
      </c>
      <c r="O27" s="357">
        <v>4.2</v>
      </c>
    </row>
    <row r="28" spans="1:19" ht="18" customHeight="1">
      <c r="A28" s="224"/>
      <c r="B28" s="225"/>
      <c r="C28" s="226" t="s">
        <v>226</v>
      </c>
      <c r="D28" s="227">
        <v>19913</v>
      </c>
      <c r="E28" s="227">
        <v>26999.1</v>
      </c>
      <c r="F28" s="227">
        <v>32398</v>
      </c>
      <c r="G28" s="227">
        <v>38226</v>
      </c>
      <c r="H28" s="227">
        <v>39381</v>
      </c>
      <c r="I28" s="227">
        <v>48252</v>
      </c>
      <c r="J28" s="237" t="e">
        <f>+K28+L28+M28+N28+O28</f>
        <v>#REF!</v>
      </c>
      <c r="K28" s="237" t="e">
        <f>+K$54*K29/100</f>
        <v>#REF!</v>
      </c>
      <c r="L28" s="237" t="e">
        <f>+L$54*L29/100</f>
        <v>#REF!</v>
      </c>
      <c r="M28" s="237" t="e">
        <f>+M$54*M29/100</f>
        <v>#REF!</v>
      </c>
      <c r="N28" s="237" t="e">
        <f>+N$54*N29/100</f>
        <v>#REF!</v>
      </c>
      <c r="O28" s="237" t="e">
        <f>+O$54*O29/100</f>
        <v>#REF!</v>
      </c>
      <c r="S28" s="206" t="e">
        <f>+L28/S26</f>
        <v>#REF!</v>
      </c>
    </row>
    <row r="29" spans="1:15" s="223" customFormat="1" ht="18" customHeight="1">
      <c r="A29" s="228"/>
      <c r="B29" s="229"/>
      <c r="C29" s="230" t="s">
        <v>217</v>
      </c>
      <c r="D29" s="356"/>
      <c r="E29" s="356"/>
      <c r="F29" s="356"/>
      <c r="G29" s="356"/>
      <c r="H29" s="356"/>
      <c r="I29" s="356"/>
      <c r="J29" s="357" t="e">
        <f>100*J28/J$54</f>
        <v>#REF!</v>
      </c>
      <c r="K29" s="357">
        <v>12.3</v>
      </c>
      <c r="L29" s="357">
        <v>12.6</v>
      </c>
      <c r="M29" s="357">
        <v>12.9</v>
      </c>
      <c r="N29" s="357">
        <v>13.2</v>
      </c>
      <c r="O29" s="357">
        <v>13.5</v>
      </c>
    </row>
    <row r="30" spans="1:19" ht="18" customHeight="1">
      <c r="A30" s="224"/>
      <c r="B30" s="225"/>
      <c r="C30" s="226" t="s">
        <v>227</v>
      </c>
      <c r="D30" s="227">
        <v>4453</v>
      </c>
      <c r="E30" s="227">
        <v>2974.7</v>
      </c>
      <c r="F30" s="227">
        <v>3847</v>
      </c>
      <c r="G30" s="227">
        <v>4230</v>
      </c>
      <c r="H30" s="227">
        <v>5549</v>
      </c>
      <c r="I30" s="227">
        <v>6628</v>
      </c>
      <c r="J30" s="237" t="e">
        <f>+K30+L30+M30+N30+O30</f>
        <v>#REF!</v>
      </c>
      <c r="K30" s="237" t="e">
        <f>+K$54*K31/100</f>
        <v>#REF!</v>
      </c>
      <c r="L30" s="237" t="e">
        <f>+L$54*L31/100</f>
        <v>#REF!</v>
      </c>
      <c r="M30" s="237" t="e">
        <f>+M$54*M31/100</f>
        <v>#REF!</v>
      </c>
      <c r="N30" s="237" t="e">
        <f>+N$54*N31/100</f>
        <v>#REF!</v>
      </c>
      <c r="O30" s="237" t="e">
        <f>+O$54*O31/100</f>
        <v>#REF!</v>
      </c>
      <c r="S30" s="206" t="e">
        <f>+L32/S26</f>
        <v>#REF!</v>
      </c>
    </row>
    <row r="31" spans="1:15" s="223" customFormat="1" ht="18" customHeight="1">
      <c r="A31" s="228"/>
      <c r="B31" s="229"/>
      <c r="C31" s="230" t="s">
        <v>217</v>
      </c>
      <c r="D31" s="356"/>
      <c r="E31" s="356"/>
      <c r="F31" s="356"/>
      <c r="G31" s="356"/>
      <c r="H31" s="356"/>
      <c r="I31" s="356"/>
      <c r="J31" s="357" t="e">
        <f>100*J30/J$54</f>
        <v>#REF!</v>
      </c>
      <c r="K31" s="357">
        <v>2.1</v>
      </c>
      <c r="L31" s="357">
        <v>2.1</v>
      </c>
      <c r="M31" s="357">
        <v>2.1</v>
      </c>
      <c r="N31" s="357">
        <v>2.1</v>
      </c>
      <c r="O31" s="357">
        <v>2.1</v>
      </c>
    </row>
    <row r="32" spans="1:19" ht="18" customHeight="1">
      <c r="A32" s="224"/>
      <c r="B32" s="225"/>
      <c r="C32" s="226" t="s">
        <v>228</v>
      </c>
      <c r="D32" s="227"/>
      <c r="E32" s="227"/>
      <c r="F32" s="227"/>
      <c r="G32" s="227"/>
      <c r="H32" s="227"/>
      <c r="I32" s="227"/>
      <c r="J32" s="237" t="e">
        <f>+K32+L32+M32+N32+O32</f>
        <v>#REF!</v>
      </c>
      <c r="K32" s="237" t="e">
        <f>+K$54*K33/100</f>
        <v>#REF!</v>
      </c>
      <c r="L32" s="237" t="e">
        <f>+L$54*L33/100</f>
        <v>#REF!</v>
      </c>
      <c r="M32" s="237" t="e">
        <f>+M$54*M33/100</f>
        <v>#REF!</v>
      </c>
      <c r="N32" s="237" t="e">
        <f>+N$54*N33/100</f>
        <v>#REF!</v>
      </c>
      <c r="O32" s="237" t="e">
        <f>+O$54*O33/100</f>
        <v>#REF!</v>
      </c>
      <c r="S32" s="231"/>
    </row>
    <row r="33" spans="1:15" s="223" customFormat="1" ht="18" customHeight="1">
      <c r="A33" s="228"/>
      <c r="B33" s="229"/>
      <c r="C33" s="230" t="s">
        <v>217</v>
      </c>
      <c r="D33" s="356"/>
      <c r="E33" s="356"/>
      <c r="F33" s="356"/>
      <c r="G33" s="356"/>
      <c r="H33" s="356"/>
      <c r="I33" s="356"/>
      <c r="J33" s="357" t="e">
        <f>100*J32/J$54</f>
        <v>#REF!</v>
      </c>
      <c r="K33" s="357">
        <v>3.6</v>
      </c>
      <c r="L33" s="357">
        <v>3.6</v>
      </c>
      <c r="M33" s="357">
        <v>3.6</v>
      </c>
      <c r="N33" s="357">
        <v>3.6</v>
      </c>
      <c r="O33" s="357">
        <v>3.6</v>
      </c>
    </row>
    <row r="34" spans="1:15" ht="28.5" customHeight="1">
      <c r="A34" s="224"/>
      <c r="B34" s="225"/>
      <c r="C34" s="226" t="s">
        <v>229</v>
      </c>
      <c r="D34" s="227">
        <v>1303</v>
      </c>
      <c r="E34" s="227">
        <v>2017.6</v>
      </c>
      <c r="F34" s="227">
        <v>1120</v>
      </c>
      <c r="G34" s="227">
        <v>1983</v>
      </c>
      <c r="H34" s="227">
        <v>1800</v>
      </c>
      <c r="I34" s="227">
        <v>2174</v>
      </c>
      <c r="J34" s="237" t="e">
        <f>+K34+L34+M34+N34+O34</f>
        <v>#REF!</v>
      </c>
      <c r="K34" s="237" t="e">
        <f>+K$54*K35/100</f>
        <v>#REF!</v>
      </c>
      <c r="L34" s="237" t="e">
        <f>+L$54*L35/100</f>
        <v>#REF!</v>
      </c>
      <c r="M34" s="237" t="e">
        <f>+M$54*M35/100</f>
        <v>#REF!</v>
      </c>
      <c r="N34" s="237" t="e">
        <f>+N$54*N35/100</f>
        <v>#REF!</v>
      </c>
      <c r="O34" s="237" t="e">
        <f>+O$54*O35/100</f>
        <v>#REF!</v>
      </c>
    </row>
    <row r="35" spans="1:15" s="223" customFormat="1" ht="18" customHeight="1">
      <c r="A35" s="228"/>
      <c r="B35" s="229"/>
      <c r="C35" s="230" t="s">
        <v>217</v>
      </c>
      <c r="D35" s="356"/>
      <c r="E35" s="356"/>
      <c r="F35" s="356"/>
      <c r="G35" s="356"/>
      <c r="H35" s="356"/>
      <c r="I35" s="356"/>
      <c r="J35" s="357" t="e">
        <f>100*J34/J$54</f>
        <v>#REF!</v>
      </c>
      <c r="K35" s="357">
        <v>1.5</v>
      </c>
      <c r="L35" s="357">
        <v>1.5</v>
      </c>
      <c r="M35" s="357">
        <v>1.5</v>
      </c>
      <c r="N35" s="357">
        <v>1.5</v>
      </c>
      <c r="O35" s="357">
        <v>1.5</v>
      </c>
    </row>
    <row r="36" spans="1:15" ht="18" customHeight="1">
      <c r="A36" s="224"/>
      <c r="B36" s="225"/>
      <c r="C36" s="226" t="s">
        <v>230</v>
      </c>
      <c r="D36" s="227">
        <v>4031</v>
      </c>
      <c r="E36" s="227">
        <v>1734.6</v>
      </c>
      <c r="F36" s="227">
        <v>2612</v>
      </c>
      <c r="G36" s="227">
        <v>3605</v>
      </c>
      <c r="H36" s="227">
        <v>5025</v>
      </c>
      <c r="I36" s="227">
        <v>5705</v>
      </c>
      <c r="J36" s="237" t="e">
        <f>+K36+L36+M36+N36+O36</f>
        <v>#REF!</v>
      </c>
      <c r="K36" s="237" t="e">
        <f>+K$54*K37/100</f>
        <v>#REF!</v>
      </c>
      <c r="L36" s="237" t="e">
        <f>+L$54*L37/100</f>
        <v>#REF!</v>
      </c>
      <c r="M36" s="237" t="e">
        <f>+M$54*M37/100</f>
        <v>#REF!</v>
      </c>
      <c r="N36" s="237" t="e">
        <f>+N$54*N37/100</f>
        <v>#REF!</v>
      </c>
      <c r="O36" s="237" t="e">
        <f>+O$54*O37/100</f>
        <v>#REF!</v>
      </c>
    </row>
    <row r="37" spans="1:15" s="223" customFormat="1" ht="18" customHeight="1">
      <c r="A37" s="228"/>
      <c r="B37" s="229"/>
      <c r="C37" s="230" t="s">
        <v>217</v>
      </c>
      <c r="D37" s="356"/>
      <c r="E37" s="356"/>
      <c r="F37" s="356"/>
      <c r="G37" s="356"/>
      <c r="H37" s="356"/>
      <c r="I37" s="356"/>
      <c r="J37" s="357" t="e">
        <f>100*J36/J$54</f>
        <v>#REF!</v>
      </c>
      <c r="K37" s="357">
        <v>4.6</v>
      </c>
      <c r="L37" s="357">
        <v>4.5</v>
      </c>
      <c r="M37" s="357">
        <v>4.4</v>
      </c>
      <c r="N37" s="357">
        <v>4.3</v>
      </c>
      <c r="O37" s="357">
        <v>4.2</v>
      </c>
    </row>
    <row r="38" spans="1:19" ht="36.75" customHeight="1">
      <c r="A38" s="224"/>
      <c r="B38" s="225"/>
      <c r="C38" s="226" t="s">
        <v>231</v>
      </c>
      <c r="D38" s="227">
        <v>1883</v>
      </c>
      <c r="E38" s="227">
        <v>1935.5</v>
      </c>
      <c r="F38" s="227">
        <v>695</v>
      </c>
      <c r="G38" s="227"/>
      <c r="H38" s="227">
        <v>1351</v>
      </c>
      <c r="I38" s="227">
        <v>1486</v>
      </c>
      <c r="J38" s="237" t="e">
        <f>+K38+L38+M38+N38+O38</f>
        <v>#REF!</v>
      </c>
      <c r="K38" s="237" t="e">
        <f>+K$54*K39/100</f>
        <v>#REF!</v>
      </c>
      <c r="L38" s="237" t="e">
        <f>+L$54*L39/100</f>
        <v>#REF!</v>
      </c>
      <c r="M38" s="237" t="e">
        <f>+M$54*M39/100</f>
        <v>#REF!</v>
      </c>
      <c r="N38" s="237" t="e">
        <f>+N$54*N39/100</f>
        <v>#REF!</v>
      </c>
      <c r="O38" s="237" t="e">
        <f>+O$54*O39/100</f>
        <v>#REF!</v>
      </c>
      <c r="R38" s="206">
        <f>1456+65373+11914</f>
        <v>78743</v>
      </c>
      <c r="S38" s="231" t="e">
        <f>+L40+L42+L50</f>
        <v>#REF!</v>
      </c>
    </row>
    <row r="39" spans="1:22" s="223" customFormat="1" ht="18" customHeight="1">
      <c r="A39" s="228"/>
      <c r="B39" s="232"/>
      <c r="C39" s="230" t="s">
        <v>217</v>
      </c>
      <c r="D39" s="361"/>
      <c r="E39" s="356"/>
      <c r="F39" s="356"/>
      <c r="G39" s="356"/>
      <c r="H39" s="356"/>
      <c r="I39" s="356"/>
      <c r="J39" s="357" t="e">
        <f>100*J38/J$54</f>
        <v>#REF!</v>
      </c>
      <c r="K39" s="357">
        <v>1.1</v>
      </c>
      <c r="L39" s="357">
        <v>1.1</v>
      </c>
      <c r="M39" s="362">
        <v>1.1</v>
      </c>
      <c r="N39" s="357">
        <v>1.1</v>
      </c>
      <c r="O39" s="357">
        <v>1.1</v>
      </c>
      <c r="P39" s="221"/>
      <c r="Q39" s="222"/>
      <c r="S39" s="221"/>
      <c r="T39" s="222"/>
      <c r="V39" s="221"/>
    </row>
    <row r="40" spans="1:19" ht="18" customHeight="1">
      <c r="A40" s="224"/>
      <c r="B40" s="225"/>
      <c r="C40" s="226" t="s">
        <v>232</v>
      </c>
      <c r="D40" s="227">
        <v>3914</v>
      </c>
      <c r="E40" s="227">
        <v>3854</v>
      </c>
      <c r="F40" s="227">
        <v>3072</v>
      </c>
      <c r="G40" s="227">
        <v>4452</v>
      </c>
      <c r="H40" s="227">
        <v>8260</v>
      </c>
      <c r="I40" s="227">
        <v>9727</v>
      </c>
      <c r="J40" s="237" t="e">
        <f>+K40+L40+M40+N40+O40</f>
        <v>#REF!</v>
      </c>
      <c r="K40" s="237" t="e">
        <f>+K$54*K41/100</f>
        <v>#REF!</v>
      </c>
      <c r="L40" s="237" t="e">
        <f>+L$54*L41/100</f>
        <v>#REF!</v>
      </c>
      <c r="M40" s="237" t="e">
        <f>+M$54*M41/100</f>
        <v>#REF!</v>
      </c>
      <c r="N40" s="237" t="e">
        <f>+N$54*N41/100</f>
        <v>#REF!</v>
      </c>
      <c r="O40" s="237" t="e">
        <f>+O$54*O41/100</f>
        <v>#REF!</v>
      </c>
      <c r="S40" s="206" t="e">
        <f>+L40/S38</f>
        <v>#REF!</v>
      </c>
    </row>
    <row r="41" spans="1:15" s="223" customFormat="1" ht="18" customHeight="1">
      <c r="A41" s="228"/>
      <c r="B41" s="229"/>
      <c r="C41" s="230" t="s">
        <v>217</v>
      </c>
      <c r="D41" s="356"/>
      <c r="E41" s="356"/>
      <c r="F41" s="356"/>
      <c r="G41" s="356"/>
      <c r="H41" s="356"/>
      <c r="I41" s="356"/>
      <c r="J41" s="357" t="e">
        <f>100*J40/J$54</f>
        <v>#REF!</v>
      </c>
      <c r="K41" s="357">
        <v>3.4</v>
      </c>
      <c r="L41" s="357">
        <v>3.4</v>
      </c>
      <c r="M41" s="357">
        <v>3.4</v>
      </c>
      <c r="N41" s="357">
        <v>3.4</v>
      </c>
      <c r="O41" s="357">
        <v>3.4</v>
      </c>
    </row>
    <row r="42" spans="1:19" ht="55.5" customHeight="1" hidden="1">
      <c r="A42" s="224"/>
      <c r="B42" s="225"/>
      <c r="C42" s="226" t="s">
        <v>233</v>
      </c>
      <c r="D42" s="227">
        <v>793</v>
      </c>
      <c r="E42" s="227">
        <v>342</v>
      </c>
      <c r="F42" s="227">
        <v>818</v>
      </c>
      <c r="G42" s="227">
        <v>892</v>
      </c>
      <c r="H42" s="227">
        <v>1015</v>
      </c>
      <c r="I42" s="227">
        <v>1217</v>
      </c>
      <c r="J42" s="237"/>
      <c r="K42" s="237"/>
      <c r="L42" s="237"/>
      <c r="M42" s="237"/>
      <c r="N42" s="237"/>
      <c r="O42" s="237"/>
      <c r="S42" s="206" t="e">
        <f>+L42/S38</f>
        <v>#REF!</v>
      </c>
    </row>
    <row r="43" spans="1:15" s="223" customFormat="1" ht="18" customHeight="1" hidden="1">
      <c r="A43" s="228"/>
      <c r="B43" s="229"/>
      <c r="C43" s="230" t="s">
        <v>217</v>
      </c>
      <c r="D43" s="356"/>
      <c r="E43" s="356"/>
      <c r="F43" s="356"/>
      <c r="G43" s="356"/>
      <c r="H43" s="356"/>
      <c r="I43" s="356"/>
      <c r="J43" s="357"/>
      <c r="K43" s="357"/>
      <c r="L43" s="357"/>
      <c r="M43" s="357"/>
      <c r="N43" s="357"/>
      <c r="O43" s="357"/>
    </row>
    <row r="44" spans="1:19" ht="18" customHeight="1">
      <c r="A44" s="224"/>
      <c r="B44" s="225"/>
      <c r="C44" s="226" t="s">
        <v>234</v>
      </c>
      <c r="D44" s="227">
        <v>6084</v>
      </c>
      <c r="E44" s="227">
        <v>6225.3</v>
      </c>
      <c r="F44" s="227">
        <v>5882</v>
      </c>
      <c r="G44" s="227">
        <v>7118</v>
      </c>
      <c r="H44" s="227">
        <v>8614</v>
      </c>
      <c r="I44" s="227">
        <v>10097</v>
      </c>
      <c r="J44" s="237" t="e">
        <f>+K44+L44+M44+N44+O44</f>
        <v>#REF!</v>
      </c>
      <c r="K44" s="237" t="e">
        <f>+K$54*K45/100</f>
        <v>#REF!</v>
      </c>
      <c r="L44" s="237" t="e">
        <f>+L$54*L45/100</f>
        <v>#REF!</v>
      </c>
      <c r="M44" s="237" t="e">
        <f>+M$54*M45/100</f>
        <v>#REF!</v>
      </c>
      <c r="N44" s="237" t="e">
        <f>+N$54*N45/100</f>
        <v>#REF!</v>
      </c>
      <c r="O44" s="237" t="e">
        <f>+O$54*O45/100</f>
        <v>#REF!</v>
      </c>
      <c r="S44" s="206" t="e">
        <f>+L50/S38</f>
        <v>#REF!</v>
      </c>
    </row>
    <row r="45" spans="1:15" s="223" customFormat="1" ht="18" customHeight="1">
      <c r="A45" s="228"/>
      <c r="B45" s="229"/>
      <c r="C45" s="230" t="s">
        <v>217</v>
      </c>
      <c r="D45" s="356"/>
      <c r="E45" s="356"/>
      <c r="F45" s="356"/>
      <c r="G45" s="356"/>
      <c r="H45" s="356"/>
      <c r="I45" s="356"/>
      <c r="J45" s="357" t="e">
        <f>100*J44/J$54</f>
        <v>#REF!</v>
      </c>
      <c r="K45" s="357">
        <v>2.9</v>
      </c>
      <c r="L45" s="357">
        <v>3</v>
      </c>
      <c r="M45" s="357">
        <v>3.1</v>
      </c>
      <c r="N45" s="357">
        <v>3.2</v>
      </c>
      <c r="O45" s="357">
        <v>3.3</v>
      </c>
    </row>
    <row r="46" spans="1:15" ht="18" customHeight="1">
      <c r="A46" s="224"/>
      <c r="B46" s="225"/>
      <c r="C46" s="226" t="s">
        <v>235</v>
      </c>
      <c r="D46" s="227">
        <v>2323</v>
      </c>
      <c r="E46" s="227">
        <v>2770.1</v>
      </c>
      <c r="F46" s="227">
        <v>3207</v>
      </c>
      <c r="G46" s="227">
        <v>4370</v>
      </c>
      <c r="H46" s="227">
        <v>5665</v>
      </c>
      <c r="I46" s="227">
        <v>5775</v>
      </c>
      <c r="J46" s="237" t="e">
        <f>+K46+L46+M46+N46+O46</f>
        <v>#REF!</v>
      </c>
      <c r="K46" s="237" t="e">
        <f>+K$54*K47/100</f>
        <v>#REF!</v>
      </c>
      <c r="L46" s="237" t="e">
        <f>+L$54*L47/100</f>
        <v>#REF!</v>
      </c>
      <c r="M46" s="237" t="e">
        <f>+M$54*M47/100</f>
        <v>#REF!</v>
      </c>
      <c r="N46" s="237" t="e">
        <f>+N$54*N47/100</f>
        <v>#REF!</v>
      </c>
      <c r="O46" s="237" t="e">
        <f>+O$54*O47/100</f>
        <v>#REF!</v>
      </c>
    </row>
    <row r="47" spans="1:15" s="223" customFormat="1" ht="18" customHeight="1">
      <c r="A47" s="228"/>
      <c r="B47" s="229"/>
      <c r="C47" s="230" t="s">
        <v>217</v>
      </c>
      <c r="D47" s="356"/>
      <c r="E47" s="356"/>
      <c r="F47" s="356"/>
      <c r="G47" s="356"/>
      <c r="H47" s="356"/>
      <c r="I47" s="356"/>
      <c r="J47" s="357" t="e">
        <f>100*J46/J$54</f>
        <v>#REF!</v>
      </c>
      <c r="K47" s="357">
        <v>1.5</v>
      </c>
      <c r="L47" s="357">
        <v>1.6</v>
      </c>
      <c r="M47" s="357">
        <v>1.7</v>
      </c>
      <c r="N47" s="357">
        <v>1.8</v>
      </c>
      <c r="O47" s="357">
        <v>1.9</v>
      </c>
    </row>
    <row r="48" spans="1:15" ht="18" customHeight="1" hidden="1">
      <c r="A48" s="224"/>
      <c r="B48" s="225"/>
      <c r="C48" s="226" t="s">
        <v>236</v>
      </c>
      <c r="D48" s="227">
        <v>2812</v>
      </c>
      <c r="E48" s="227">
        <v>2228.4</v>
      </c>
      <c r="F48" s="227">
        <v>3029</v>
      </c>
      <c r="G48" s="227">
        <v>4288</v>
      </c>
      <c r="H48" s="227">
        <v>4583</v>
      </c>
      <c r="I48" s="227">
        <v>4893</v>
      </c>
      <c r="J48" s="237"/>
      <c r="K48" s="237"/>
      <c r="L48" s="237"/>
      <c r="M48" s="237"/>
      <c r="N48" s="237"/>
      <c r="O48" s="237"/>
    </row>
    <row r="49" spans="1:15" s="223" customFormat="1" ht="18" customHeight="1" hidden="1">
      <c r="A49" s="228"/>
      <c r="B49" s="236"/>
      <c r="C49" s="230" t="s">
        <v>217</v>
      </c>
      <c r="D49" s="356"/>
      <c r="E49" s="356"/>
      <c r="F49" s="356"/>
      <c r="G49" s="356"/>
      <c r="H49" s="356"/>
      <c r="I49" s="356"/>
      <c r="J49" s="357"/>
      <c r="K49" s="357"/>
      <c r="L49" s="357"/>
      <c r="M49" s="357"/>
      <c r="N49" s="357"/>
      <c r="O49" s="357"/>
    </row>
    <row r="50" spans="1:15" ht="18" customHeight="1">
      <c r="A50" s="225"/>
      <c r="B50" s="229"/>
      <c r="C50" s="226" t="s">
        <v>237</v>
      </c>
      <c r="D50" s="227">
        <v>20400</v>
      </c>
      <c r="E50" s="227">
        <v>23070.9</v>
      </c>
      <c r="F50" s="227">
        <v>29230</v>
      </c>
      <c r="G50" s="227">
        <v>35151</v>
      </c>
      <c r="H50" s="227">
        <v>46690</v>
      </c>
      <c r="I50" s="227">
        <v>56969</v>
      </c>
      <c r="J50" s="237" t="e">
        <f>+K50+L50+M50+N50+O50</f>
        <v>#REF!</v>
      </c>
      <c r="K50" s="237" t="e">
        <f>+K54-K8-K13-K15-K17-K19-K21-K26-K28-K30-K32-K34-K36-K38-K40-K42-K44-K46-K48</f>
        <v>#REF!</v>
      </c>
      <c r="L50" s="237" t="e">
        <f>+L54-L8-L13-L15-L17-L19-L21-L26-L28-L30-L32-L34-L36-L38-L40-L42-L44-L46-L48</f>
        <v>#REF!</v>
      </c>
      <c r="M50" s="237" t="e">
        <f>+M54-M8-M13-M15-M17-M19-M21-M26-M28-M30-M32-M34-M36-M38-M40-M42-M44-M46-M48</f>
        <v>#REF!</v>
      </c>
      <c r="N50" s="237" t="e">
        <f>+N54-N8-N13-N15-N17-N19-N21-N26-N28-N30-N32-N34-N36-N38-N40-N42-N44-N46-N48</f>
        <v>#REF!</v>
      </c>
      <c r="O50" s="237" t="e">
        <f>+O54-O8-O13-O15-O17-O19-O21-O26-O28-O30-O32-O34-O36-O38-O40-O42-O44-O46-O48</f>
        <v>#REF!</v>
      </c>
    </row>
    <row r="51" spans="1:15" s="223" customFormat="1" ht="18" customHeight="1">
      <c r="A51" s="229"/>
      <c r="B51" s="229"/>
      <c r="C51" s="230" t="s">
        <v>217</v>
      </c>
      <c r="D51" s="356"/>
      <c r="E51" s="356"/>
      <c r="F51" s="356"/>
      <c r="G51" s="356"/>
      <c r="H51" s="356"/>
      <c r="I51" s="356"/>
      <c r="J51" s="357" t="e">
        <f aca="true" t="shared" si="3" ref="J51:O51">100*J50/J$54</f>
        <v>#REF!</v>
      </c>
      <c r="K51" s="357" t="e">
        <f t="shared" si="3"/>
        <v>#REF!</v>
      </c>
      <c r="L51" s="357" t="e">
        <f t="shared" si="3"/>
        <v>#REF!</v>
      </c>
      <c r="M51" s="357" t="e">
        <f t="shared" si="3"/>
        <v>#REF!</v>
      </c>
      <c r="N51" s="357" t="e">
        <f t="shared" si="3"/>
        <v>#REF!</v>
      </c>
      <c r="O51" s="357" t="e">
        <f t="shared" si="3"/>
        <v>#REF!</v>
      </c>
    </row>
    <row r="52" spans="1:15" ht="15" customHeight="1">
      <c r="A52" s="238"/>
      <c r="B52" s="239"/>
      <c r="C52" s="240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</row>
    <row r="53" spans="3:14" ht="15" customHeight="1">
      <c r="C53" s="243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</row>
    <row r="54" spans="1:15" ht="30" customHeight="1">
      <c r="A54" s="216"/>
      <c r="B54" s="1253" t="s">
        <v>174</v>
      </c>
      <c r="C54" s="1254"/>
      <c r="D54" s="345">
        <v>151183</v>
      </c>
      <c r="E54" s="345">
        <v>170496</v>
      </c>
      <c r="F54" s="345">
        <v>200145</v>
      </c>
      <c r="G54" s="345">
        <v>239246</v>
      </c>
      <c r="H54" s="345">
        <v>290927</v>
      </c>
      <c r="I54" s="345">
        <v>343135</v>
      </c>
      <c r="J54" s="343" t="e">
        <f>+K54+L54+M54+N54+O54</f>
        <v>#REF!</v>
      </c>
      <c r="K54" s="343" t="e">
        <f>#REF!*1000</f>
        <v>#REF!</v>
      </c>
      <c r="L54" s="343" t="e">
        <f>#REF!*1000</f>
        <v>#REF!</v>
      </c>
      <c r="M54" s="343" t="e">
        <f>#REF!*1000</f>
        <v>#REF!</v>
      </c>
      <c r="N54" s="343" t="e">
        <f>#REF!*1000</f>
        <v>#REF!</v>
      </c>
      <c r="O54" s="343" t="e">
        <f>#REF!*1000</f>
        <v>#REF!</v>
      </c>
    </row>
  </sheetData>
  <sheetProtection/>
  <mergeCells count="16">
    <mergeCell ref="B9:C9"/>
    <mergeCell ref="B10:C10"/>
    <mergeCell ref="A1:O1"/>
    <mergeCell ref="A2:O2"/>
    <mergeCell ref="A3:O3"/>
    <mergeCell ref="M4:O4"/>
    <mergeCell ref="B11:C11"/>
    <mergeCell ref="B12:C12"/>
    <mergeCell ref="B5:C5"/>
    <mergeCell ref="B54:C54"/>
    <mergeCell ref="B6:C6"/>
    <mergeCell ref="B23:C23"/>
    <mergeCell ref="B24:C24"/>
    <mergeCell ref="B25:C25"/>
    <mergeCell ref="B7:C7"/>
    <mergeCell ref="B8:C8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95" r:id="rId1"/>
  <headerFooter alignWithMargins="0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5"/>
  <sheetViews>
    <sheetView zoomScalePageLayoutView="0" workbookViewId="0" topLeftCell="A1">
      <pane xSplit="2" ySplit="20" topLeftCell="C21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ColWidth="9.140625" defaultRowHeight="12.75"/>
  <cols>
    <col min="1" max="1" width="4.421875" style="335" customWidth="1"/>
    <col min="2" max="2" width="36.57421875" style="252" customWidth="1"/>
    <col min="3" max="3" width="14.8515625" style="251" customWidth="1"/>
    <col min="4" max="4" width="14.8515625" style="252" customWidth="1"/>
    <col min="5" max="7" width="14.8515625" style="253" customWidth="1"/>
    <col min="8" max="8" width="14.8515625" style="336" customWidth="1"/>
    <col min="9" max="9" width="13.8515625" style="254" hidden="1" customWidth="1"/>
    <col min="10" max="10" width="12.140625" style="254" customWidth="1"/>
    <col min="11" max="12" width="9.140625" style="245" customWidth="1"/>
    <col min="13" max="13" width="10.140625" style="245" bestFit="1" customWidth="1"/>
    <col min="14" max="16384" width="9.140625" style="245" customWidth="1"/>
  </cols>
  <sheetData>
    <row r="1" spans="1:14" s="206" customFormat="1" ht="30.75" customHeight="1">
      <c r="A1" s="1264" t="s">
        <v>280</v>
      </c>
      <c r="B1" s="1264"/>
      <c r="C1" s="1264"/>
      <c r="D1" s="1264"/>
      <c r="E1" s="1264"/>
      <c r="F1" s="1264"/>
      <c r="G1" s="1264"/>
      <c r="H1" s="1264"/>
      <c r="I1" s="205"/>
      <c r="J1" s="205"/>
      <c r="K1" s="205"/>
      <c r="L1" s="205"/>
      <c r="M1" s="205"/>
      <c r="N1" s="205"/>
    </row>
    <row r="2" spans="1:10" ht="45" customHeight="1">
      <c r="A2" s="1268" t="s">
        <v>286</v>
      </c>
      <c r="B2" s="1269"/>
      <c r="C2" s="1269"/>
      <c r="D2" s="1269"/>
      <c r="E2" s="1269"/>
      <c r="F2" s="1269"/>
      <c r="G2" s="1269"/>
      <c r="H2" s="1269"/>
      <c r="I2" s="1269"/>
      <c r="J2" s="244"/>
    </row>
    <row r="3" spans="1:10" ht="12.75" customHeight="1">
      <c r="A3" s="246"/>
      <c r="B3" s="244"/>
      <c r="C3" s="247"/>
      <c r="D3" s="244"/>
      <c r="E3" s="244"/>
      <c r="F3" s="244"/>
      <c r="G3" s="244"/>
      <c r="H3" s="244"/>
      <c r="I3" s="248"/>
      <c r="J3" s="248"/>
    </row>
    <row r="4" spans="1:9" ht="27.75" customHeight="1">
      <c r="A4" s="249"/>
      <c r="B4" s="250"/>
      <c r="F4" s="1270" t="s">
        <v>285</v>
      </c>
      <c r="G4" s="1270"/>
      <c r="H4" s="1270"/>
      <c r="I4" s="1271"/>
    </row>
    <row r="5" spans="1:10" s="262" customFormat="1" ht="39.75" customHeight="1">
      <c r="A5" s="255"/>
      <c r="B5" s="256" t="s">
        <v>277</v>
      </c>
      <c r="C5" s="257" t="s">
        <v>276</v>
      </c>
      <c r="D5" s="258">
        <v>2011</v>
      </c>
      <c r="E5" s="259">
        <v>2012</v>
      </c>
      <c r="F5" s="259">
        <v>2013</v>
      </c>
      <c r="G5" s="259">
        <v>2014</v>
      </c>
      <c r="H5" s="259">
        <v>2015</v>
      </c>
      <c r="I5" s="260">
        <v>2011</v>
      </c>
      <c r="J5" s="261"/>
    </row>
    <row r="6" spans="1:12" s="270" customFormat="1" ht="52.5" customHeight="1" hidden="1">
      <c r="A6" s="263"/>
      <c r="B6" s="264" t="s">
        <v>215</v>
      </c>
      <c r="C6" s="265"/>
      <c r="D6" s="266"/>
      <c r="E6" s="266"/>
      <c r="F6" s="266"/>
      <c r="G6" s="266"/>
      <c r="H6" s="267"/>
      <c r="I6" s="268">
        <f>'[4]cc2011'!H5</f>
        <v>152000.05204045697</v>
      </c>
      <c r="J6" s="269"/>
      <c r="L6" s="271"/>
    </row>
    <row r="7" spans="1:22" s="281" customFormat="1" ht="46.5" customHeight="1" hidden="1">
      <c r="A7" s="272" t="s">
        <v>3</v>
      </c>
      <c r="B7" s="273" t="s">
        <v>274</v>
      </c>
      <c r="C7" s="274"/>
      <c r="D7" s="275"/>
      <c r="E7" s="276"/>
      <c r="F7" s="276"/>
      <c r="G7" s="276"/>
      <c r="H7" s="277"/>
      <c r="I7" s="278">
        <f>'[4]cc2011'!H6</f>
        <v>10080</v>
      </c>
      <c r="J7" s="279"/>
      <c r="K7" s="280"/>
      <c r="M7" s="282"/>
      <c r="N7" s="280"/>
      <c r="P7" s="282"/>
      <c r="Q7" s="280"/>
      <c r="S7" s="282"/>
      <c r="T7" s="280"/>
      <c r="V7" s="282"/>
    </row>
    <row r="8" spans="1:22" ht="47.25" hidden="1">
      <c r="A8" s="283"/>
      <c r="B8" s="284" t="s">
        <v>273</v>
      </c>
      <c r="C8" s="285"/>
      <c r="D8" s="286">
        <f>+'[4]cc2006'!C7+'[4]cc2006'!C8</f>
        <v>120</v>
      </c>
      <c r="E8" s="287">
        <f>+'[4]cc2007'!C8</f>
        <v>220</v>
      </c>
      <c r="F8" s="287">
        <f>+'[4]cc2008'!C8</f>
        <v>200</v>
      </c>
      <c r="G8" s="288">
        <f>+'[4]cc2009'!C8</f>
        <v>200</v>
      </c>
      <c r="H8" s="288">
        <f>+'[4]cc2010'!H8</f>
        <v>200</v>
      </c>
      <c r="I8" s="289">
        <f>'[4]cc2011'!H7</f>
        <v>180</v>
      </c>
      <c r="J8" s="290"/>
      <c r="K8" s="291"/>
      <c r="M8" s="292"/>
      <c r="N8" s="291"/>
      <c r="P8" s="292"/>
      <c r="Q8" s="291"/>
      <c r="S8" s="292"/>
      <c r="T8" s="291"/>
      <c r="V8" s="292"/>
    </row>
    <row r="9" spans="1:22" ht="47.25" hidden="1">
      <c r="A9" s="283"/>
      <c r="B9" s="284" t="s">
        <v>272</v>
      </c>
      <c r="C9" s="285"/>
      <c r="D9" s="286">
        <f>+'[4]cc2006'!C9</f>
        <v>300</v>
      </c>
      <c r="E9" s="287">
        <f>+'[4]cc2007'!C9</f>
        <v>200</v>
      </c>
      <c r="F9" s="287">
        <f>+'[4]cc2008'!C9</f>
        <v>200</v>
      </c>
      <c r="G9" s="288">
        <f>+'[4]cc2009'!C9</f>
        <v>200</v>
      </c>
      <c r="H9" s="288">
        <f>+'[4]cc2010'!H9</f>
        <v>200</v>
      </c>
      <c r="I9" s="289">
        <f>'[4]cc2011'!H8</f>
        <v>200</v>
      </c>
      <c r="J9" s="290"/>
      <c r="K9" s="291"/>
      <c r="M9" s="292"/>
      <c r="N9" s="291"/>
      <c r="P9" s="292"/>
      <c r="Q9" s="291"/>
      <c r="S9" s="292"/>
      <c r="T9" s="291"/>
      <c r="V9" s="292"/>
    </row>
    <row r="10" spans="1:22" ht="31.5" hidden="1">
      <c r="A10" s="283"/>
      <c r="B10" s="284" t="s">
        <v>271</v>
      </c>
      <c r="C10" s="285"/>
      <c r="D10" s="286">
        <f>+'[4]cc2006'!C10</f>
        <v>2000</v>
      </c>
      <c r="E10" s="287">
        <f>+'[4]cc2007'!C10</f>
        <v>2500</v>
      </c>
      <c r="F10" s="287">
        <f>+'[4]cc2008'!C10</f>
        <v>2300</v>
      </c>
      <c r="G10" s="288">
        <f>+'[4]cc2009'!C10</f>
        <v>3700</v>
      </c>
      <c r="H10" s="288">
        <f>+'[4]cc2010'!H10</f>
        <v>3700</v>
      </c>
      <c r="I10" s="289">
        <f>'[4]cc2011'!H9</f>
        <v>4500</v>
      </c>
      <c r="J10" s="290"/>
      <c r="K10" s="291"/>
      <c r="M10" s="292"/>
      <c r="N10" s="291"/>
      <c r="P10" s="292"/>
      <c r="Q10" s="291"/>
      <c r="S10" s="292"/>
      <c r="T10" s="291"/>
      <c r="V10" s="292"/>
    </row>
    <row r="11" spans="1:10" ht="15.75" hidden="1">
      <c r="A11" s="283"/>
      <c r="B11" s="293" t="s">
        <v>270</v>
      </c>
      <c r="C11" s="285"/>
      <c r="D11" s="287"/>
      <c r="E11" s="287"/>
      <c r="F11" s="287">
        <f>+'[4]cc2008'!C11</f>
        <v>120</v>
      </c>
      <c r="G11" s="288"/>
      <c r="H11" s="288"/>
      <c r="I11" s="289"/>
      <c r="J11" s="290"/>
    </row>
    <row r="12" spans="1:10" ht="31.5" hidden="1">
      <c r="A12" s="283"/>
      <c r="B12" s="294" t="s">
        <v>269</v>
      </c>
      <c r="C12" s="295"/>
      <c r="D12" s="287"/>
      <c r="E12" s="287"/>
      <c r="F12" s="287"/>
      <c r="G12" s="288">
        <f>+'[4]cc2009'!C11</f>
        <v>4900</v>
      </c>
      <c r="H12" s="288">
        <f>+'[4]cc2010'!H11</f>
        <v>3500</v>
      </c>
      <c r="I12" s="289">
        <f>'[4]cc2011'!H10</f>
        <v>3500</v>
      </c>
      <c r="J12" s="290"/>
    </row>
    <row r="13" spans="1:10" ht="78.75" hidden="1">
      <c r="A13" s="283"/>
      <c r="B13" s="294" t="s">
        <v>268</v>
      </c>
      <c r="C13" s="295"/>
      <c r="D13" s="287">
        <f>+'[4]cc2006'!C11</f>
        <v>150</v>
      </c>
      <c r="E13" s="287" t="e">
        <f>+'[4]cc2007'!C11</f>
        <v>#REF!</v>
      </c>
      <c r="F13" s="287"/>
      <c r="G13" s="288">
        <f>+'[4]cc2009'!C12</f>
        <v>160</v>
      </c>
      <c r="H13" s="288">
        <f>+'[4]cc2010'!H12</f>
        <v>300</v>
      </c>
      <c r="I13" s="289">
        <f>'[4]cc2011'!H11</f>
        <v>820</v>
      </c>
      <c r="J13" s="290"/>
    </row>
    <row r="14" spans="1:10" ht="15.75" hidden="1">
      <c r="A14" s="283"/>
      <c r="B14" s="296" t="s">
        <v>267</v>
      </c>
      <c r="C14" s="297"/>
      <c r="D14" s="287"/>
      <c r="E14" s="287">
        <f>+'[4]cc2007'!C13</f>
        <v>100</v>
      </c>
      <c r="F14" s="287"/>
      <c r="G14" s="288"/>
      <c r="H14" s="288"/>
      <c r="I14" s="289"/>
      <c r="J14" s="290"/>
    </row>
    <row r="15" spans="1:10" ht="15.75" hidden="1">
      <c r="A15" s="283"/>
      <c r="B15" s="293" t="s">
        <v>266</v>
      </c>
      <c r="C15" s="285"/>
      <c r="D15" s="287"/>
      <c r="E15" s="287">
        <f>+'[4]cc2007'!C12</f>
        <v>1000</v>
      </c>
      <c r="F15" s="287">
        <f>+'[4]cc2008'!C12</f>
        <v>600</v>
      </c>
      <c r="G15" s="288">
        <f>+'[4]cc2009'!C13</f>
        <v>800</v>
      </c>
      <c r="H15" s="288">
        <f>+'[4]cc2010'!H13</f>
        <v>800</v>
      </c>
      <c r="I15" s="289">
        <f>'[4]cc2011'!H12</f>
        <v>880</v>
      </c>
      <c r="J15" s="290"/>
    </row>
    <row r="16" spans="1:10" s="281" customFormat="1" ht="45.75" customHeight="1">
      <c r="A16" s="272"/>
      <c r="B16" s="298" t="s">
        <v>215</v>
      </c>
      <c r="C16" s="274" t="e">
        <f>+D16+E16+F16+G16+H16</f>
        <v>#REF!</v>
      </c>
      <c r="D16" s="276" t="e">
        <f>+D21+D33+D53+D55</f>
        <v>#REF!</v>
      </c>
      <c r="E16" s="276" t="e">
        <f>+E21+E33+E53+E55</f>
        <v>#REF!</v>
      </c>
      <c r="F16" s="276" t="e">
        <f>+F21+F33+F53+F55</f>
        <v>#REF!</v>
      </c>
      <c r="G16" s="276" t="e">
        <f>+G21+G33+G53+G55</f>
        <v>#REF!</v>
      </c>
      <c r="H16" s="276" t="e">
        <f>+H21+H33+H53+H55</f>
        <v>#REF!</v>
      </c>
      <c r="I16" s="276">
        <f>'[4]cc2006-2010'!I14</f>
        <v>880</v>
      </c>
      <c r="J16" s="269"/>
    </row>
    <row r="17" spans="1:10" s="281" customFormat="1" ht="45.75" customHeight="1" hidden="1">
      <c r="A17" s="272"/>
      <c r="B17" s="298" t="s">
        <v>215</v>
      </c>
      <c r="C17" s="274">
        <f>+D17+E17+F17+G17+H17</f>
        <v>1287000</v>
      </c>
      <c r="D17" s="276">
        <v>167000</v>
      </c>
      <c r="E17" s="276">
        <v>210000</v>
      </c>
      <c r="F17" s="276">
        <v>260000</v>
      </c>
      <c r="G17" s="276">
        <v>300000</v>
      </c>
      <c r="H17" s="276">
        <v>350000</v>
      </c>
      <c r="I17" s="276">
        <f>'[4]cc2006-2010'!I15</f>
        <v>141425.55204045697</v>
      </c>
      <c r="J17" s="279"/>
    </row>
    <row r="18" spans="1:10" s="281" customFormat="1" ht="30.75" customHeight="1" hidden="1">
      <c r="A18" s="272"/>
      <c r="B18" s="298"/>
      <c r="C18" s="274"/>
      <c r="D18" s="274">
        <v>170000</v>
      </c>
      <c r="E18" s="274">
        <v>210000</v>
      </c>
      <c r="F18" s="274">
        <v>260000</v>
      </c>
      <c r="G18" s="274">
        <v>300000</v>
      </c>
      <c r="H18" s="274">
        <v>350000</v>
      </c>
      <c r="I18" s="274">
        <f>+I21+I33+I53+I55</f>
        <v>141425.55204045697</v>
      </c>
      <c r="J18" s="279"/>
    </row>
    <row r="19" spans="1:10" s="281" customFormat="1" ht="36" customHeight="1" hidden="1">
      <c r="A19" s="272"/>
      <c r="B19" s="298"/>
      <c r="C19" s="274"/>
      <c r="D19" s="274">
        <v>45000</v>
      </c>
      <c r="E19" s="274">
        <v>45000</v>
      </c>
      <c r="F19" s="274">
        <v>45000</v>
      </c>
      <c r="G19" s="274">
        <v>45000</v>
      </c>
      <c r="H19" s="274">
        <v>45000</v>
      </c>
      <c r="I19" s="274"/>
      <c r="J19" s="279"/>
    </row>
    <row r="20" spans="1:10" s="281" customFormat="1" ht="45.75" customHeight="1" hidden="1">
      <c r="A20" s="272"/>
      <c r="B20" s="298"/>
      <c r="C20" s="299" t="e">
        <f aca="true" t="shared" si="0" ref="C20:H20">+C24+C26+C28+C30+C32+C36+C38+C40+C42+C44+C46+C48+C50+C52+C54+C56</f>
        <v>#REF!</v>
      </c>
      <c r="D20" s="299">
        <f t="shared" si="0"/>
        <v>100</v>
      </c>
      <c r="E20" s="299">
        <f t="shared" si="0"/>
        <v>100</v>
      </c>
      <c r="F20" s="299">
        <f t="shared" si="0"/>
        <v>100</v>
      </c>
      <c r="G20" s="299">
        <f t="shared" si="0"/>
        <v>100.00000000000001</v>
      </c>
      <c r="H20" s="299">
        <f t="shared" si="0"/>
        <v>100.00000000000001</v>
      </c>
      <c r="I20" s="274"/>
      <c r="J20" s="279"/>
    </row>
    <row r="21" spans="1:10" s="270" customFormat="1" ht="40.5" customHeight="1">
      <c r="A21" s="272" t="s">
        <v>101</v>
      </c>
      <c r="B21" s="298" t="s">
        <v>265</v>
      </c>
      <c r="C21" s="300" t="e">
        <f>+D21+E21+F21+G21+H21</f>
        <v>#REF!</v>
      </c>
      <c r="D21" s="300" t="e">
        <f aca="true" t="shared" si="1" ref="D21:I21">+D23+D25+D27+D29+D31</f>
        <v>#REF!</v>
      </c>
      <c r="E21" s="300" t="e">
        <f t="shared" si="1"/>
        <v>#REF!</v>
      </c>
      <c r="F21" s="300" t="e">
        <f t="shared" si="1"/>
        <v>#REF!</v>
      </c>
      <c r="G21" s="300" t="e">
        <f t="shared" si="1"/>
        <v>#REF!</v>
      </c>
      <c r="H21" s="300" t="e">
        <f t="shared" si="1"/>
        <v>#REF!</v>
      </c>
      <c r="I21" s="274">
        <f t="shared" si="1"/>
        <v>66858.44406704056</v>
      </c>
      <c r="J21" s="279"/>
    </row>
    <row r="22" spans="1:22" s="307" customFormat="1" ht="28.5" customHeight="1">
      <c r="A22" s="301"/>
      <c r="B22" s="302" t="s">
        <v>217</v>
      </c>
      <c r="C22" s="303" t="e">
        <f aca="true" t="shared" si="2" ref="C22:H22">100*C21/C$63</f>
        <v>#REF!</v>
      </c>
      <c r="D22" s="304" t="e">
        <f t="shared" si="2"/>
        <v>#REF!</v>
      </c>
      <c r="E22" s="303" t="e">
        <f t="shared" si="2"/>
        <v>#REF!</v>
      </c>
      <c r="F22" s="303" t="e">
        <f t="shared" si="2"/>
        <v>#REF!</v>
      </c>
      <c r="G22" s="303" t="e">
        <f t="shared" si="2"/>
        <v>#REF!</v>
      </c>
      <c r="H22" s="303" t="e">
        <f t="shared" si="2"/>
        <v>#REF!</v>
      </c>
      <c r="I22" s="303"/>
      <c r="J22" s="305"/>
      <c r="K22" s="306"/>
      <c r="M22" s="308"/>
      <c r="N22" s="306"/>
      <c r="P22" s="308"/>
      <c r="Q22" s="306"/>
      <c r="S22" s="308"/>
      <c r="T22" s="306"/>
      <c r="V22" s="308"/>
    </row>
    <row r="23" spans="1:20" ht="40.5" customHeight="1">
      <c r="A23" s="283">
        <v>1</v>
      </c>
      <c r="B23" s="293" t="s">
        <v>264</v>
      </c>
      <c r="C23" s="309" t="e">
        <f>+D23+E23+F23+G23+H23</f>
        <v>#REF!</v>
      </c>
      <c r="D23" s="310" t="e">
        <f>+D24*D$63/100</f>
        <v>#REF!</v>
      </c>
      <c r="E23" s="309" t="e">
        <f>+E24*E$63/100</f>
        <v>#REF!</v>
      </c>
      <c r="F23" s="309" t="e">
        <f>+F24*F$63/100</f>
        <v>#REF!</v>
      </c>
      <c r="G23" s="309" t="e">
        <f>+G24*G$63/100</f>
        <v>#REF!</v>
      </c>
      <c r="H23" s="309" t="e">
        <f>+H24*H$63/100</f>
        <v>#REF!</v>
      </c>
      <c r="I23" s="287">
        <f>+I24*I$17/100</f>
        <v>2137</v>
      </c>
      <c r="J23" s="311"/>
      <c r="K23" s="291"/>
      <c r="M23" s="292"/>
      <c r="N23" s="291"/>
      <c r="P23" s="292"/>
      <c r="Q23" s="291"/>
      <c r="S23" s="292"/>
      <c r="T23" s="291"/>
    </row>
    <row r="24" spans="1:22" s="307" customFormat="1" ht="22.5" customHeight="1">
      <c r="A24" s="301"/>
      <c r="B24" s="302" t="s">
        <v>217</v>
      </c>
      <c r="C24" s="303" t="e">
        <f>100*C23/C$63</f>
        <v>#REF!</v>
      </c>
      <c r="D24" s="304">
        <v>4.3</v>
      </c>
      <c r="E24" s="303">
        <v>4.2</v>
      </c>
      <c r="F24" s="303">
        <v>4.1</v>
      </c>
      <c r="G24" s="303">
        <v>4</v>
      </c>
      <c r="H24" s="303">
        <v>3.9</v>
      </c>
      <c r="I24" s="312">
        <f>'[4]cc2006-2010'!I32</f>
        <v>1.5110423605690986</v>
      </c>
      <c r="J24" s="305"/>
      <c r="K24" s="306"/>
      <c r="M24" s="308"/>
      <c r="N24" s="306"/>
      <c r="P24" s="308"/>
      <c r="Q24" s="306"/>
      <c r="S24" s="308"/>
      <c r="T24" s="306"/>
      <c r="V24" s="308"/>
    </row>
    <row r="25" spans="1:20" ht="40.5" customHeight="1">
      <c r="A25" s="283">
        <f>+A23+1</f>
        <v>2</v>
      </c>
      <c r="B25" s="293" t="s">
        <v>263</v>
      </c>
      <c r="C25" s="309" t="e">
        <f>+D25+E25+F25+G25+H25</f>
        <v>#REF!</v>
      </c>
      <c r="D25" s="309" t="e">
        <f>+D26*D$63/100</f>
        <v>#REF!</v>
      </c>
      <c r="E25" s="309" t="e">
        <f>+E26*E$63/100</f>
        <v>#REF!</v>
      </c>
      <c r="F25" s="309" t="e">
        <f>+F26*F$63/100</f>
        <v>#REF!</v>
      </c>
      <c r="G25" s="309" t="e">
        <f>+G26*G$63/100</f>
        <v>#REF!</v>
      </c>
      <c r="H25" s="309" t="e">
        <f>+H26*H$63/100</f>
        <v>#REF!</v>
      </c>
      <c r="I25" s="287">
        <f>+I26*I$17/100</f>
        <v>29715.15436937331</v>
      </c>
      <c r="J25" s="290"/>
      <c r="K25" s="291"/>
      <c r="M25" s="292"/>
      <c r="N25" s="291"/>
      <c r="P25" s="292"/>
      <c r="Q25" s="291"/>
      <c r="S25" s="292"/>
      <c r="T25" s="291"/>
    </row>
    <row r="26" spans="1:22" s="307" customFormat="1" ht="22.5" customHeight="1">
      <c r="A26" s="301"/>
      <c r="B26" s="302" t="s">
        <v>217</v>
      </c>
      <c r="C26" s="303" t="e">
        <f>100*C25/C$63</f>
        <v>#REF!</v>
      </c>
      <c r="D26" s="304">
        <v>21.5</v>
      </c>
      <c r="E26" s="303">
        <v>21.6</v>
      </c>
      <c r="F26" s="303">
        <v>21.7</v>
      </c>
      <c r="G26" s="303">
        <v>21.8</v>
      </c>
      <c r="H26" s="303">
        <v>21.8</v>
      </c>
      <c r="I26" s="312">
        <f>'[4]cc2006-2010'!I69</f>
        <v>21.011163782392615</v>
      </c>
      <c r="J26" s="313"/>
      <c r="K26" s="306"/>
      <c r="M26" s="308"/>
      <c r="N26" s="306"/>
      <c r="P26" s="308"/>
      <c r="Q26" s="306"/>
      <c r="S26" s="308"/>
      <c r="T26" s="306"/>
      <c r="V26" s="308"/>
    </row>
    <row r="27" spans="1:10" ht="40.5" customHeight="1">
      <c r="A27" s="283">
        <f>+A25+1</f>
        <v>3</v>
      </c>
      <c r="B27" s="293" t="s">
        <v>262</v>
      </c>
      <c r="C27" s="309" t="e">
        <f>+D27+E27+F27+G27+H27</f>
        <v>#REF!</v>
      </c>
      <c r="D27" s="309" t="e">
        <f>+D28*D$63/100</f>
        <v>#REF!</v>
      </c>
      <c r="E27" s="309" t="e">
        <f>+E28*E$63/100</f>
        <v>#REF!</v>
      </c>
      <c r="F27" s="309" t="e">
        <f>+F28*F$63/100</f>
        <v>#REF!</v>
      </c>
      <c r="G27" s="309" t="e">
        <f>+G28*G$63/100</f>
        <v>#REF!</v>
      </c>
      <c r="H27" s="309" t="e">
        <f>+H28*H$63/100</f>
        <v>#REF!</v>
      </c>
      <c r="I27" s="287">
        <f>+I28*I$17/100</f>
        <v>32348.157614015763</v>
      </c>
      <c r="J27" s="290"/>
    </row>
    <row r="28" spans="1:10" s="307" customFormat="1" ht="22.5" customHeight="1">
      <c r="A28" s="301"/>
      <c r="B28" s="314" t="s">
        <v>217</v>
      </c>
      <c r="C28" s="303" t="e">
        <f>100*C27/C$63</f>
        <v>#REF!</v>
      </c>
      <c r="D28" s="303">
        <v>28.3</v>
      </c>
      <c r="E28" s="303">
        <v>28.5</v>
      </c>
      <c r="F28" s="303">
        <v>28.7</v>
      </c>
      <c r="G28" s="303">
        <v>28.9</v>
      </c>
      <c r="H28" s="303">
        <v>30</v>
      </c>
      <c r="I28" s="312">
        <f>'[4]cc2006-2010'!I101</f>
        <v>22.87292299538776</v>
      </c>
      <c r="J28" s="313"/>
    </row>
    <row r="29" spans="1:10" ht="39.75" customHeight="1">
      <c r="A29" s="283">
        <f>+A27+1</f>
        <v>4</v>
      </c>
      <c r="B29" s="293" t="s">
        <v>228</v>
      </c>
      <c r="C29" s="309" t="e">
        <f>+D29+E29+F29+G29+H29</f>
        <v>#REF!</v>
      </c>
      <c r="D29" s="309" t="e">
        <f>+D30*D$63/100</f>
        <v>#REF!</v>
      </c>
      <c r="E29" s="309" t="e">
        <f>+E30*E$63/100</f>
        <v>#REF!</v>
      </c>
      <c r="F29" s="309" t="e">
        <f>+F30*F$63/100</f>
        <v>#REF!</v>
      </c>
      <c r="G29" s="309" t="e">
        <f>+G30*G$63/100</f>
        <v>#REF!</v>
      </c>
      <c r="H29" s="309" t="e">
        <f>+H30*H$63/100</f>
        <v>#REF!</v>
      </c>
      <c r="I29" s="287">
        <f>+I30*I$17/100</f>
        <v>1558.5831768189735</v>
      </c>
      <c r="J29" s="290"/>
    </row>
    <row r="30" spans="1:10" s="307" customFormat="1" ht="22.5" customHeight="1">
      <c r="A30" s="301"/>
      <c r="B30" s="314" t="s">
        <v>217</v>
      </c>
      <c r="C30" s="303" t="e">
        <f>100*C29/C$63</f>
        <v>#REF!</v>
      </c>
      <c r="D30" s="303">
        <v>1</v>
      </c>
      <c r="E30" s="303">
        <v>0.9</v>
      </c>
      <c r="F30" s="303">
        <v>0.8</v>
      </c>
      <c r="G30" s="303">
        <v>0.7</v>
      </c>
      <c r="H30" s="303">
        <v>0.5</v>
      </c>
      <c r="I30" s="312">
        <f>'[4]cc2006-2010'!I117</f>
        <v>1.1020520368010418</v>
      </c>
      <c r="J30" s="313"/>
    </row>
    <row r="31" spans="1:10" ht="40.5" customHeight="1">
      <c r="A31" s="283">
        <f>+A29+1</f>
        <v>5</v>
      </c>
      <c r="B31" s="293" t="s">
        <v>261</v>
      </c>
      <c r="C31" s="309" t="e">
        <f>+D31+E31+F31+G31+H31</f>
        <v>#REF!</v>
      </c>
      <c r="D31" s="309" t="e">
        <f>+D32*D$63/100</f>
        <v>#REF!</v>
      </c>
      <c r="E31" s="309" t="e">
        <f>+E32*E$63/100</f>
        <v>#REF!</v>
      </c>
      <c r="F31" s="309" t="e">
        <f>+F32*F$63/100</f>
        <v>#REF!</v>
      </c>
      <c r="G31" s="309" t="e">
        <f>+G32*G$63/100</f>
        <v>#REF!</v>
      </c>
      <c r="H31" s="309" t="e">
        <f>+H32*H$63/100</f>
        <v>#REF!</v>
      </c>
      <c r="I31" s="287">
        <f>+I32*I$17/100</f>
        <v>1099.548906832512</v>
      </c>
      <c r="J31" s="290"/>
    </row>
    <row r="32" spans="1:10" s="307" customFormat="1" ht="22.5" customHeight="1">
      <c r="A32" s="301"/>
      <c r="B32" s="314" t="s">
        <v>217</v>
      </c>
      <c r="C32" s="303" t="e">
        <f>100*C31/C$63</f>
        <v>#REF!</v>
      </c>
      <c r="D32" s="303">
        <v>0.8</v>
      </c>
      <c r="E32" s="303">
        <v>0.7</v>
      </c>
      <c r="F32" s="303">
        <v>0.6</v>
      </c>
      <c r="G32" s="303">
        <v>0.5</v>
      </c>
      <c r="H32" s="303">
        <v>0.4</v>
      </c>
      <c r="I32" s="312">
        <f>'[4]cc2006-2010'!I126</f>
        <v>0.7774754214980679</v>
      </c>
      <c r="J32" s="313"/>
    </row>
    <row r="33" spans="1:16" s="270" customFormat="1" ht="40.5" customHeight="1">
      <c r="A33" s="272" t="s">
        <v>102</v>
      </c>
      <c r="B33" s="298" t="s">
        <v>260</v>
      </c>
      <c r="C33" s="300" t="e">
        <f>+D33+E33+F33+G33+H33</f>
        <v>#REF!</v>
      </c>
      <c r="D33" s="300" t="e">
        <f aca="true" t="shared" si="3" ref="D33:I33">+D35+D37+D39+D41+D43+D45+D47+D49+D51</f>
        <v>#REF!</v>
      </c>
      <c r="E33" s="300" t="e">
        <f t="shared" si="3"/>
        <v>#REF!</v>
      </c>
      <c r="F33" s="300" t="e">
        <f t="shared" si="3"/>
        <v>#REF!</v>
      </c>
      <c r="G33" s="300" t="e">
        <f t="shared" si="3"/>
        <v>#REF!</v>
      </c>
      <c r="H33" s="300" t="e">
        <f t="shared" si="3"/>
        <v>#REF!</v>
      </c>
      <c r="I33" s="274">
        <f t="shared" si="3"/>
        <v>68161.3079734164</v>
      </c>
      <c r="J33" s="279"/>
      <c r="M33" s="270" t="s">
        <v>259</v>
      </c>
      <c r="N33" s="270" t="s">
        <v>257</v>
      </c>
      <c r="O33" s="270" t="s">
        <v>256</v>
      </c>
      <c r="P33" s="270" t="s">
        <v>254</v>
      </c>
    </row>
    <row r="34" spans="1:10" s="307" customFormat="1" ht="24" customHeight="1">
      <c r="A34" s="301"/>
      <c r="B34" s="314" t="s">
        <v>217</v>
      </c>
      <c r="C34" s="303" t="e">
        <f aca="true" t="shared" si="4" ref="C34:H34">100*C33/C$63</f>
        <v>#REF!</v>
      </c>
      <c r="D34" s="303" t="e">
        <f t="shared" si="4"/>
        <v>#REF!</v>
      </c>
      <c r="E34" s="303" t="e">
        <f t="shared" si="4"/>
        <v>#REF!</v>
      </c>
      <c r="F34" s="303" t="e">
        <f t="shared" si="4"/>
        <v>#REF!</v>
      </c>
      <c r="G34" s="303" t="e">
        <f t="shared" si="4"/>
        <v>#REF!</v>
      </c>
      <c r="H34" s="303" t="e">
        <f t="shared" si="4"/>
        <v>#REF!</v>
      </c>
      <c r="I34" s="303"/>
      <c r="J34" s="313"/>
    </row>
    <row r="35" spans="1:13" ht="40.5" customHeight="1">
      <c r="A35" s="283">
        <f>+A31+1</f>
        <v>6</v>
      </c>
      <c r="B35" s="293" t="s">
        <v>258</v>
      </c>
      <c r="C35" s="309" t="e">
        <f>+D35+E35+F35+G35+H35</f>
        <v>#REF!</v>
      </c>
      <c r="D35" s="309" t="e">
        <f>+D36*D$63/100</f>
        <v>#REF!</v>
      </c>
      <c r="E35" s="309" t="e">
        <f>+E36*E$63/100</f>
        <v>#REF!</v>
      </c>
      <c r="F35" s="309" t="e">
        <f>+F36*F$63/100</f>
        <v>#REF!</v>
      </c>
      <c r="G35" s="309" t="e">
        <f>+G36*G$63/100</f>
        <v>#REF!</v>
      </c>
      <c r="H35" s="309" t="e">
        <f>+H36*H$63/100</f>
        <v>#REF!</v>
      </c>
      <c r="I35" s="287">
        <f>+I36*I$17/100</f>
        <v>5609.594388896713</v>
      </c>
      <c r="J35" s="290"/>
      <c r="L35" s="245" t="s">
        <v>257</v>
      </c>
      <c r="M35" s="245">
        <v>0.1</v>
      </c>
    </row>
    <row r="36" spans="1:13" s="307" customFormat="1" ht="22.5" customHeight="1">
      <c r="A36" s="301"/>
      <c r="B36" s="314" t="s">
        <v>217</v>
      </c>
      <c r="C36" s="303" t="e">
        <f>100*C35/C$63</f>
        <v>#REF!</v>
      </c>
      <c r="D36" s="303">
        <v>3</v>
      </c>
      <c r="E36" s="303">
        <v>3</v>
      </c>
      <c r="F36" s="303">
        <v>3</v>
      </c>
      <c r="G36" s="303">
        <v>3</v>
      </c>
      <c r="H36" s="303">
        <v>3</v>
      </c>
      <c r="I36" s="312">
        <f>'[4]cc2006-2010'!I138</f>
        <v>3.9664645518173423</v>
      </c>
      <c r="J36" s="313"/>
      <c r="L36" s="307" t="s">
        <v>256</v>
      </c>
      <c r="M36" s="307">
        <v>0.25</v>
      </c>
    </row>
    <row r="37" spans="1:13" ht="40.5" customHeight="1">
      <c r="A37" s="283">
        <f>+A35+1</f>
        <v>7</v>
      </c>
      <c r="B37" s="293" t="s">
        <v>255</v>
      </c>
      <c r="C37" s="309" t="e">
        <f>+D37+E37+F37+G37+H37</f>
        <v>#REF!</v>
      </c>
      <c r="D37" s="309" t="e">
        <f>+D38*D$63/100</f>
        <v>#REF!</v>
      </c>
      <c r="E37" s="309" t="e">
        <f>+E38*E$63/100</f>
        <v>#REF!</v>
      </c>
      <c r="F37" s="309" t="e">
        <f>+F38*F$63/100</f>
        <v>#REF!</v>
      </c>
      <c r="G37" s="309" t="e">
        <f>+G38*G$63/100</f>
        <v>#REF!</v>
      </c>
      <c r="H37" s="309" t="e">
        <f>+H38*H$63/100</f>
        <v>#REF!</v>
      </c>
      <c r="I37" s="287">
        <f>+I38*I$17/100</f>
        <v>5019.7</v>
      </c>
      <c r="J37" s="290"/>
      <c r="L37" s="245" t="s">
        <v>254</v>
      </c>
      <c r="M37" s="245">
        <v>0.55</v>
      </c>
    </row>
    <row r="38" spans="1:10" s="307" customFormat="1" ht="22.5" customHeight="1">
      <c r="A38" s="301"/>
      <c r="B38" s="314" t="s">
        <v>217</v>
      </c>
      <c r="C38" s="303" t="e">
        <f>100*C37/C$63</f>
        <v>#REF!</v>
      </c>
      <c r="D38" s="303">
        <v>2.8</v>
      </c>
      <c r="E38" s="303">
        <v>3</v>
      </c>
      <c r="F38" s="303">
        <v>3.2</v>
      </c>
      <c r="G38" s="303">
        <v>3.3</v>
      </c>
      <c r="H38" s="303">
        <v>3.4</v>
      </c>
      <c r="I38" s="312">
        <f>'[4]cc2006-2010'!I153</f>
        <v>3.549358604281097</v>
      </c>
      <c r="J38" s="313"/>
    </row>
    <row r="39" spans="1:22" ht="40.5" customHeight="1">
      <c r="A39" s="283">
        <f>+A37+1</f>
        <v>8</v>
      </c>
      <c r="B39" s="284" t="s">
        <v>253</v>
      </c>
      <c r="C39" s="309" t="e">
        <f>+D39+E39+F39+G39+H39</f>
        <v>#REF!</v>
      </c>
      <c r="D39" s="310" t="e">
        <f>+D40*D$63/100</f>
        <v>#REF!</v>
      </c>
      <c r="E39" s="309" t="e">
        <f>+E40*E$63/100</f>
        <v>#REF!</v>
      </c>
      <c r="F39" s="309" t="e">
        <f>+F40*F$63/100</f>
        <v>#REF!</v>
      </c>
      <c r="G39" s="309" t="e">
        <f>+G40*G$63/100</f>
        <v>#REF!</v>
      </c>
      <c r="H39" s="309" t="e">
        <f>+H40*H$63/100</f>
        <v>#REF!</v>
      </c>
      <c r="I39" s="287">
        <f>+I40*I$17/100</f>
        <v>2954.3022918643965</v>
      </c>
      <c r="J39" s="290"/>
      <c r="K39" s="291"/>
      <c r="M39" s="292"/>
      <c r="N39" s="291"/>
      <c r="P39" s="292"/>
      <c r="Q39" s="291"/>
      <c r="S39" s="292"/>
      <c r="T39" s="291"/>
      <c r="V39" s="292"/>
    </row>
    <row r="40" spans="1:10" s="307" customFormat="1" ht="22.5" customHeight="1">
      <c r="A40" s="301"/>
      <c r="B40" s="314" t="s">
        <v>217</v>
      </c>
      <c r="C40" s="303" t="e">
        <f>100*C39/C$63</f>
        <v>#REF!</v>
      </c>
      <c r="D40" s="303">
        <v>1.7</v>
      </c>
      <c r="E40" s="303">
        <v>1.7</v>
      </c>
      <c r="F40" s="303">
        <v>1.8</v>
      </c>
      <c r="G40" s="303">
        <v>1.9</v>
      </c>
      <c r="H40" s="303">
        <v>1.9</v>
      </c>
      <c r="I40" s="312">
        <f>'[4]cc2006-2010'!I162</f>
        <v>2.0889452077367694</v>
      </c>
      <c r="J40" s="313"/>
    </row>
    <row r="41" spans="1:12" ht="40.5" customHeight="1">
      <c r="A41" s="283">
        <f>+A39+1</f>
        <v>9</v>
      </c>
      <c r="B41" s="293" t="s">
        <v>234</v>
      </c>
      <c r="C41" s="309" t="e">
        <f>+D41+E41+F41+G41+H41</f>
        <v>#REF!</v>
      </c>
      <c r="D41" s="309" t="e">
        <f>+D42*D$63/100</f>
        <v>#REF!</v>
      </c>
      <c r="E41" s="309" t="e">
        <f>+E42*E$63/100</f>
        <v>#REF!</v>
      </c>
      <c r="F41" s="309" t="e">
        <f>+F42*F$63/100</f>
        <v>#REF!</v>
      </c>
      <c r="G41" s="309" t="e">
        <f>+G42*G$63/100</f>
        <v>#REF!</v>
      </c>
      <c r="H41" s="309" t="e">
        <f>+H42*H$63/100</f>
        <v>#REF!</v>
      </c>
      <c r="I41" s="287">
        <f>+I42*I$17/100</f>
        <v>24837.7</v>
      </c>
      <c r="J41" s="290"/>
      <c r="L41" s="245" t="s">
        <v>252</v>
      </c>
    </row>
    <row r="42" spans="1:10" s="307" customFormat="1" ht="22.5" customHeight="1">
      <c r="A42" s="301"/>
      <c r="B42" s="314" t="s">
        <v>217</v>
      </c>
      <c r="C42" s="303" t="e">
        <f>100*C41/C$63</f>
        <v>#REF!</v>
      </c>
      <c r="D42" s="303">
        <v>15.8</v>
      </c>
      <c r="E42" s="303">
        <v>16</v>
      </c>
      <c r="F42" s="303">
        <v>16.2</v>
      </c>
      <c r="G42" s="303">
        <v>16.4</v>
      </c>
      <c r="H42" s="303">
        <v>16.5</v>
      </c>
      <c r="I42" s="312">
        <f>'[4]cc2006-2010'!I190</f>
        <v>17.562385044037015</v>
      </c>
      <c r="J42" s="313"/>
    </row>
    <row r="43" spans="1:13" ht="40.5" customHeight="1">
      <c r="A43" s="283">
        <f>+A41+1</f>
        <v>10</v>
      </c>
      <c r="B43" s="293" t="s">
        <v>251</v>
      </c>
      <c r="C43" s="309" t="e">
        <f>+D43+E43+F43+G43+H43</f>
        <v>#REF!</v>
      </c>
      <c r="D43" s="309" t="e">
        <f>+D44*D$63/100</f>
        <v>#REF!</v>
      </c>
      <c r="E43" s="309" t="e">
        <f>+E44*E$63/100</f>
        <v>#REF!</v>
      </c>
      <c r="F43" s="309" t="e">
        <f>+F44*F$63/100</f>
        <v>#REF!</v>
      </c>
      <c r="G43" s="309" t="e">
        <f>+G44*G$63/100</f>
        <v>#REF!</v>
      </c>
      <c r="H43" s="309" t="e">
        <f>+H44*H$63/100</f>
        <v>#REF!</v>
      </c>
      <c r="I43" s="287">
        <f>+I44*I$17/100</f>
        <v>8018.572504599956</v>
      </c>
      <c r="J43" s="290"/>
      <c r="K43" s="245" t="s">
        <v>251</v>
      </c>
      <c r="L43" s="245">
        <f>+'[4]cc2010'!C154</f>
        <v>5678.5351351351355</v>
      </c>
      <c r="M43" s="245">
        <f>+L43/(L43+L45)</f>
        <v>0.6189692805260986</v>
      </c>
    </row>
    <row r="44" spans="1:10" s="307" customFormat="1" ht="22.5" customHeight="1">
      <c r="A44" s="301"/>
      <c r="B44" s="314" t="s">
        <v>217</v>
      </c>
      <c r="C44" s="303" t="e">
        <f>100*C43/C$63</f>
        <v>#REF!</v>
      </c>
      <c r="D44" s="303">
        <v>6.1</v>
      </c>
      <c r="E44" s="303">
        <v>6</v>
      </c>
      <c r="F44" s="303">
        <v>5.9</v>
      </c>
      <c r="G44" s="303">
        <v>5.9</v>
      </c>
      <c r="H44" s="303">
        <v>5.8</v>
      </c>
      <c r="I44" s="312">
        <f>'[4]cc2006-2010'!I212</f>
        <v>5.669818776670653</v>
      </c>
      <c r="J44" s="313"/>
    </row>
    <row r="45" spans="1:13" ht="40.5" customHeight="1">
      <c r="A45" s="283">
        <f>+A43+1</f>
        <v>11</v>
      </c>
      <c r="B45" s="293" t="s">
        <v>250</v>
      </c>
      <c r="C45" s="309" t="e">
        <f>+D45+E45+F45+G45+H45</f>
        <v>#REF!</v>
      </c>
      <c r="D45" s="309" t="e">
        <f>+D46*D$63/100</f>
        <v>#REF!</v>
      </c>
      <c r="E45" s="309" t="e">
        <f>+E46*E$63/100</f>
        <v>#REF!</v>
      </c>
      <c r="F45" s="309" t="e">
        <f>+F46*F$63/100</f>
        <v>#REF!</v>
      </c>
      <c r="G45" s="309" t="e">
        <f>+G46*G$63/100</f>
        <v>#REF!</v>
      </c>
      <c r="H45" s="309" t="e">
        <f>+H46*H$63/100</f>
        <v>#REF!</v>
      </c>
      <c r="I45" s="287">
        <f>+I46*I$17/100</f>
        <v>5461.431251255277</v>
      </c>
      <c r="J45" s="290"/>
      <c r="K45" s="245" t="s">
        <v>250</v>
      </c>
      <c r="L45" s="245">
        <f>+'[4]cc2010'!C170</f>
        <v>3495.644123500466</v>
      </c>
      <c r="M45" s="245">
        <f>+L45/(L43+L45)</f>
        <v>0.38103071947390127</v>
      </c>
    </row>
    <row r="46" spans="1:10" s="307" customFormat="1" ht="24.75" customHeight="1">
      <c r="A46" s="301"/>
      <c r="B46" s="314" t="s">
        <v>217</v>
      </c>
      <c r="C46" s="303" t="e">
        <f>100*C45/C$63</f>
        <v>#REF!</v>
      </c>
      <c r="D46" s="303">
        <v>2.8</v>
      </c>
      <c r="E46" s="303">
        <v>2.9</v>
      </c>
      <c r="F46" s="303">
        <v>2.9</v>
      </c>
      <c r="G46" s="303">
        <v>3</v>
      </c>
      <c r="H46" s="303">
        <v>3</v>
      </c>
      <c r="I46" s="312">
        <f>'[4]cc2006-2010'!I236</f>
        <v>3.861700500693786</v>
      </c>
      <c r="J46" s="313"/>
    </row>
    <row r="47" spans="1:12" ht="40.5" customHeight="1">
      <c r="A47" s="283">
        <v>12</v>
      </c>
      <c r="B47" s="293" t="s">
        <v>249</v>
      </c>
      <c r="C47" s="309" t="e">
        <f>+D47+E47+F47+G47+H47</f>
        <v>#REF!</v>
      </c>
      <c r="D47" s="309" t="e">
        <f>+D48*D$63/100</f>
        <v>#REF!</v>
      </c>
      <c r="E47" s="309" t="e">
        <f>+E48*E$63/100</f>
        <v>#REF!</v>
      </c>
      <c r="F47" s="309" t="e">
        <f>+F48*F$63/100</f>
        <v>#REF!</v>
      </c>
      <c r="G47" s="309" t="e">
        <f>+G48*G$63/100</f>
        <v>#REF!</v>
      </c>
      <c r="H47" s="309" t="e">
        <f>+H48*H$63/100</f>
        <v>#REF!</v>
      </c>
      <c r="I47" s="287">
        <f>+I48*I$17/100</f>
        <v>3899.979185976318</v>
      </c>
      <c r="J47" s="290"/>
      <c r="K47" s="245" t="s">
        <v>248</v>
      </c>
      <c r="L47" s="245">
        <f>+'[4]cc2010'!H192+'[4]cc2010'!H211</f>
        <v>4522.533988113533</v>
      </c>
    </row>
    <row r="48" spans="1:13" s="307" customFormat="1" ht="22.5" customHeight="1">
      <c r="A48" s="301"/>
      <c r="B48" s="314" t="s">
        <v>217</v>
      </c>
      <c r="C48" s="303" t="e">
        <f>100*C47/C$63</f>
        <v>#REF!</v>
      </c>
      <c r="D48" s="303">
        <v>1.9</v>
      </c>
      <c r="E48" s="303">
        <v>1.8</v>
      </c>
      <c r="F48" s="303">
        <v>1.7</v>
      </c>
      <c r="G48" s="303">
        <v>1.5</v>
      </c>
      <c r="H48" s="303">
        <v>1.2</v>
      </c>
      <c r="I48" s="312">
        <f>'[4]cc2006-2010'!I270</f>
        <v>2.7576199135928907</v>
      </c>
      <c r="J48" s="313"/>
      <c r="K48" s="245" t="s">
        <v>247</v>
      </c>
      <c r="L48" s="307">
        <f>+'[4]cc2010'!H192-580</f>
        <v>3116.5592327232416</v>
      </c>
      <c r="M48" s="307">
        <f>+L48/L47</f>
        <v>0.6891179239148714</v>
      </c>
    </row>
    <row r="49" spans="1:13" ht="40.5" customHeight="1">
      <c r="A49" s="283">
        <v>13</v>
      </c>
      <c r="B49" s="293" t="s">
        <v>246</v>
      </c>
      <c r="C49" s="309" t="e">
        <f>+D49+E49+F49+G49+H49</f>
        <v>#REF!</v>
      </c>
      <c r="D49" s="309" t="e">
        <f>+D50*D$63/100</f>
        <v>#REF!</v>
      </c>
      <c r="E49" s="309" t="e">
        <f>+E50*E$63/100</f>
        <v>#REF!</v>
      </c>
      <c r="F49" s="309" t="e">
        <f>+F50*F$63/100</f>
        <v>#REF!</v>
      </c>
      <c r="G49" s="309" t="e">
        <f>+G50*G$63/100</f>
        <v>#REF!</v>
      </c>
      <c r="H49" s="309" t="e">
        <f>+H50*H$63/100</f>
        <v>#REF!</v>
      </c>
      <c r="I49" s="287">
        <f>+I50*I$17/100</f>
        <v>1089.2936307293148</v>
      </c>
      <c r="J49" s="290"/>
      <c r="K49" s="245" t="s">
        <v>245</v>
      </c>
      <c r="L49" s="307">
        <f>+'[4]cc2010'!H211+580</f>
        <v>1405.9747553902912</v>
      </c>
      <c r="M49" s="245">
        <f>+L49/L47</f>
        <v>0.3108820760851285</v>
      </c>
    </row>
    <row r="50" spans="1:10" s="307" customFormat="1" ht="22.5" customHeight="1">
      <c r="A50" s="301"/>
      <c r="B50" s="314" t="s">
        <v>217</v>
      </c>
      <c r="C50" s="303" t="e">
        <f>100*C49/C$63</f>
        <v>#REF!</v>
      </c>
      <c r="D50" s="303">
        <v>0.8</v>
      </c>
      <c r="E50" s="303">
        <v>0.7</v>
      </c>
      <c r="F50" s="303">
        <v>0.6</v>
      </c>
      <c r="G50" s="303">
        <v>0.5</v>
      </c>
      <c r="H50" s="303">
        <v>0.4</v>
      </c>
      <c r="I50" s="312">
        <f>'[4]cc2006-2010'!I275</f>
        <v>0.7702240613617725</v>
      </c>
      <c r="J50" s="313"/>
    </row>
    <row r="51" spans="1:10" ht="40.5" customHeight="1">
      <c r="A51" s="283">
        <f>+A49+1</f>
        <v>14</v>
      </c>
      <c r="B51" s="293" t="s">
        <v>244</v>
      </c>
      <c r="C51" s="309" t="e">
        <f>+D51+E51+F51+G51+H51</f>
        <v>#REF!</v>
      </c>
      <c r="D51" s="309" t="e">
        <f>+D52*D$63/100</f>
        <v>#REF!</v>
      </c>
      <c r="E51" s="309" t="e">
        <f>+E52*E$63/100</f>
        <v>#REF!</v>
      </c>
      <c r="F51" s="309" t="e">
        <f>+F52*F$63/100</f>
        <v>#REF!</v>
      </c>
      <c r="G51" s="309" t="e">
        <f>+G52*G$63/100</f>
        <v>#REF!</v>
      </c>
      <c r="H51" s="309" t="e">
        <f>+H52*H$63/100</f>
        <v>#REF!</v>
      </c>
      <c r="I51" s="287">
        <f>+I52*I$17/100</f>
        <v>11270.734720094428</v>
      </c>
      <c r="J51" s="290"/>
    </row>
    <row r="52" spans="1:10" s="307" customFormat="1" ht="22.5" customHeight="1">
      <c r="A52" s="301"/>
      <c r="B52" s="314" t="s">
        <v>217</v>
      </c>
      <c r="C52" s="303" t="e">
        <f>100*C51/C$63</f>
        <v>#REF!</v>
      </c>
      <c r="D52" s="303">
        <v>6</v>
      </c>
      <c r="E52" s="303">
        <v>5.8</v>
      </c>
      <c r="F52" s="303">
        <v>5.6</v>
      </c>
      <c r="G52" s="303">
        <v>5.4</v>
      </c>
      <c r="H52" s="303">
        <v>5</v>
      </c>
      <c r="I52" s="312">
        <f>'[4]cc2006-2010'!I294</f>
        <v>7.96937650762732</v>
      </c>
      <c r="J52" s="313"/>
    </row>
    <row r="53" spans="1:13" s="270" customFormat="1" ht="40.5" customHeight="1">
      <c r="A53" s="272" t="s">
        <v>115</v>
      </c>
      <c r="B53" s="298" t="s">
        <v>243</v>
      </c>
      <c r="C53" s="300" t="e">
        <f>+D53+E53+F53+G53+H53</f>
        <v>#REF!</v>
      </c>
      <c r="D53" s="315" t="e">
        <f>+D54*D$63/100</f>
        <v>#REF!</v>
      </c>
      <c r="E53" s="315" t="e">
        <f>+E54*E$63/100</f>
        <v>#REF!</v>
      </c>
      <c r="F53" s="315" t="e">
        <f>+F54*F$63/100</f>
        <v>#REF!</v>
      </c>
      <c r="G53" s="315" t="e">
        <f>+G54*G$63/100</f>
        <v>#REF!</v>
      </c>
      <c r="H53" s="315" t="e">
        <f>+H54*H$63/100</f>
        <v>#REF!</v>
      </c>
      <c r="I53" s="276">
        <f>+I54*I$17/100</f>
        <v>4635.8</v>
      </c>
      <c r="J53" s="279"/>
      <c r="K53" s="270" t="s">
        <v>243</v>
      </c>
      <c r="L53" s="270">
        <v>3150</v>
      </c>
      <c r="M53" s="245">
        <f>+L53/(L53+L55)</f>
        <v>0.7682926829268293</v>
      </c>
    </row>
    <row r="54" spans="1:10" s="307" customFormat="1" ht="22.5" customHeight="1">
      <c r="A54" s="301"/>
      <c r="B54" s="314" t="s">
        <v>217</v>
      </c>
      <c r="C54" s="303" t="e">
        <f>100*C53/C$63</f>
        <v>#REF!</v>
      </c>
      <c r="D54" s="303">
        <v>2.4</v>
      </c>
      <c r="E54" s="303">
        <v>2.4</v>
      </c>
      <c r="F54" s="303">
        <v>2.4</v>
      </c>
      <c r="G54" s="303">
        <v>2.4</v>
      </c>
      <c r="H54" s="303">
        <v>2.4</v>
      </c>
      <c r="I54" s="312">
        <f>'[4]cc2006-2010'!I302</f>
        <v>3.2779083645887823</v>
      </c>
      <c r="J54" s="313"/>
    </row>
    <row r="55" spans="1:13" s="270" customFormat="1" ht="40.5" customHeight="1">
      <c r="A55" s="272" t="s">
        <v>116</v>
      </c>
      <c r="B55" s="298" t="s">
        <v>242</v>
      </c>
      <c r="C55" s="300" t="e">
        <f>+D55+E55+F55+G55+H55</f>
        <v>#REF!</v>
      </c>
      <c r="D55" s="315" t="e">
        <f>+D56*D$63/100</f>
        <v>#REF!</v>
      </c>
      <c r="E55" s="315" t="e">
        <f>+E56*E$63/100</f>
        <v>#REF!</v>
      </c>
      <c r="F55" s="315" t="e">
        <f>+F56*F$63/100</f>
        <v>#REF!</v>
      </c>
      <c r="G55" s="315" t="e">
        <f>+G56*G$63/100</f>
        <v>#REF!</v>
      </c>
      <c r="H55" s="315" t="e">
        <f>+H56*H$63/100</f>
        <v>#REF!</v>
      </c>
      <c r="I55" s="276">
        <f>+I56*I$17/100</f>
        <v>1770</v>
      </c>
      <c r="J55" s="279"/>
      <c r="K55" s="270" t="s">
        <v>242</v>
      </c>
      <c r="L55" s="270">
        <v>950</v>
      </c>
      <c r="M55" s="270">
        <f>+L55/(L53+L55)</f>
        <v>0.23170731707317074</v>
      </c>
    </row>
    <row r="56" spans="1:10" s="307" customFormat="1" ht="22.5" customHeight="1">
      <c r="A56" s="301"/>
      <c r="B56" s="314" t="s">
        <v>217</v>
      </c>
      <c r="C56" s="303" t="e">
        <f>100*C55/C$63</f>
        <v>#REF!</v>
      </c>
      <c r="D56" s="303">
        <v>0.8</v>
      </c>
      <c r="E56" s="303">
        <v>0.8</v>
      </c>
      <c r="F56" s="303">
        <v>0.8</v>
      </c>
      <c r="G56" s="303">
        <v>0.8</v>
      </c>
      <c r="H56" s="303">
        <v>0.8</v>
      </c>
      <c r="I56" s="312">
        <f>'[4]cc2006-2010'!I310</f>
        <v>1.251541870943989</v>
      </c>
      <c r="J56" s="313"/>
    </row>
    <row r="57" spans="1:12" s="270" customFormat="1" ht="40.5" customHeight="1" hidden="1">
      <c r="A57" s="316" t="s">
        <v>116</v>
      </c>
      <c r="B57" s="317" t="s">
        <v>241</v>
      </c>
      <c r="C57" s="318" t="e">
        <f>'[4]cc2006-2010'!C311</f>
        <v>#REF!</v>
      </c>
      <c r="D57" s="319">
        <f>'[4]cc2006-2010'!D311</f>
        <v>943</v>
      </c>
      <c r="E57" s="319">
        <f>'[4]cc2006-2010'!E311</f>
        <v>889.56</v>
      </c>
      <c r="F57" s="319">
        <f>'[4]cc2006-2010'!F311</f>
        <v>477</v>
      </c>
      <c r="G57" s="319">
        <f>'[4]cc2006-2010'!G311</f>
        <v>191.2</v>
      </c>
      <c r="H57" s="320">
        <f>'[4]cc2006-2010'!H311</f>
        <v>482.2</v>
      </c>
      <c r="I57" s="321">
        <f>'[4]cc2006-2010'!I311</f>
        <v>494.5</v>
      </c>
      <c r="J57" s="279"/>
      <c r="L57" s="270">
        <f>247.4+3244.7</f>
        <v>3492.1</v>
      </c>
    </row>
    <row r="58" spans="1:10" ht="9.75" customHeight="1" hidden="1">
      <c r="A58" s="322"/>
      <c r="B58" s="323"/>
      <c r="C58" s="324"/>
      <c r="D58" s="325"/>
      <c r="E58" s="326"/>
      <c r="F58" s="326"/>
      <c r="G58" s="326"/>
      <c r="H58" s="327"/>
      <c r="I58" s="328"/>
      <c r="J58" s="290"/>
    </row>
    <row r="59" spans="1:10" s="270" customFormat="1" ht="22.5" customHeight="1" hidden="1">
      <c r="A59" s="272"/>
      <c r="B59" s="298" t="s">
        <v>240</v>
      </c>
      <c r="C59" s="274"/>
      <c r="D59" s="298"/>
      <c r="E59" s="276"/>
      <c r="F59" s="276"/>
      <c r="G59" s="276"/>
      <c r="H59" s="277"/>
      <c r="I59" s="278" t="e">
        <f>#REF!+#REF!</f>
        <v>#REF!</v>
      </c>
      <c r="J59" s="279"/>
    </row>
    <row r="60" spans="1:10" s="270" customFormat="1" ht="33.75" customHeight="1" hidden="1">
      <c r="A60" s="272" t="s">
        <v>239</v>
      </c>
      <c r="B60" s="298" t="s">
        <v>238</v>
      </c>
      <c r="C60" s="274"/>
      <c r="D60" s="298"/>
      <c r="E60" s="276">
        <f>+'[4]cc2007'!C244</f>
        <v>207</v>
      </c>
      <c r="F60" s="276"/>
      <c r="G60" s="276"/>
      <c r="H60" s="277"/>
      <c r="I60" s="278"/>
      <c r="J60" s="279"/>
    </row>
    <row r="61" spans="1:10" ht="9.75" customHeight="1">
      <c r="A61" s="329"/>
      <c r="B61" s="330"/>
      <c r="C61" s="331"/>
      <c r="D61" s="330"/>
      <c r="E61" s="332"/>
      <c r="F61" s="332"/>
      <c r="G61" s="332"/>
      <c r="H61" s="333"/>
      <c r="I61" s="334"/>
      <c r="J61" s="290"/>
    </row>
    <row r="62" ht="42" customHeight="1"/>
    <row r="63" spans="1:10" s="281" customFormat="1" ht="28.5" customHeight="1">
      <c r="A63" s="272"/>
      <c r="B63" s="298" t="s">
        <v>174</v>
      </c>
      <c r="C63" s="274" t="e">
        <f>+D63+E63+F63+G63+H63</f>
        <v>#REF!</v>
      </c>
      <c r="D63" s="276" t="e">
        <f>1000*(#REF!+#REF!)</f>
        <v>#REF!</v>
      </c>
      <c r="E63" s="276" t="e">
        <f>1000*(#REF!+#REF!)</f>
        <v>#REF!</v>
      </c>
      <c r="F63" s="276" t="e">
        <f>1000*(#REF!+#REF!)</f>
        <v>#REF!</v>
      </c>
      <c r="G63" s="276" t="e">
        <f>1000*(#REF!+#REF!)</f>
        <v>#REF!</v>
      </c>
      <c r="H63" s="276" t="e">
        <f>1000*(#REF!+#REF!)</f>
        <v>#REF!</v>
      </c>
      <c r="I63" s="276"/>
      <c r="J63" s="279"/>
    </row>
    <row r="64" ht="15.75">
      <c r="A64" s="337"/>
    </row>
    <row r="65" spans="1:10" ht="15.75">
      <c r="A65" s="245"/>
      <c r="B65" s="338"/>
      <c r="C65" s="339"/>
      <c r="D65" s="338"/>
      <c r="E65" s="338"/>
      <c r="F65" s="340"/>
      <c r="G65" s="338"/>
      <c r="H65" s="341"/>
      <c r="I65" s="342"/>
      <c r="J65" s="342"/>
    </row>
  </sheetData>
  <sheetProtection/>
  <mergeCells count="3">
    <mergeCell ref="A1:H1"/>
    <mergeCell ref="A2:I2"/>
    <mergeCell ref="F4:I4"/>
  </mergeCells>
  <printOptions horizontalCentered="1"/>
  <pageMargins left="0.7086614173228347" right="0.7086614173228347" top="0.78" bottom="0.65" header="0.31496062992125984" footer="0.31496062992125984"/>
  <pageSetup fitToHeight="0" fitToWidth="1" horizontalDpi="1200" verticalDpi="12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0"/>
  <sheetViews>
    <sheetView zoomScale="70" zoomScaleNormal="70" zoomScalePageLayoutView="0" workbookViewId="0" topLeftCell="A1">
      <selection activeCell="G16" sqref="G16"/>
    </sheetView>
  </sheetViews>
  <sheetFormatPr defaultColWidth="9.140625" defaultRowHeight="12.75"/>
  <cols>
    <col min="1" max="1" width="5.8515625" style="461" customWidth="1"/>
    <col min="2" max="2" width="33.140625" style="422" customWidth="1"/>
    <col min="3" max="3" width="17.421875" style="423" customWidth="1"/>
    <col min="4" max="4" width="19.00390625" style="461" customWidth="1"/>
    <col min="5" max="5" width="16.28125" style="421" customWidth="1"/>
    <col min="6" max="6" width="15.28125" style="421" customWidth="1"/>
    <col min="7" max="7" width="17.00390625" style="421" customWidth="1"/>
    <col min="8" max="8" width="14.421875" style="421" customWidth="1"/>
    <col min="9" max="9" width="15.00390625" style="421" customWidth="1"/>
    <col min="10" max="10" width="16.57421875" style="421" customWidth="1"/>
    <col min="11" max="11" width="9.140625" style="421" customWidth="1"/>
    <col min="12" max="12" width="14.7109375" style="421" customWidth="1"/>
    <col min="13" max="13" width="11.421875" style="421" customWidth="1"/>
    <col min="14" max="14" width="11.00390625" style="421" customWidth="1"/>
    <col min="15" max="15" width="11.57421875" style="421" customWidth="1"/>
    <col min="16" max="16" width="12.00390625" style="421" customWidth="1"/>
    <col min="17" max="17" width="12.57421875" style="421" customWidth="1"/>
    <col min="18" max="18" width="14.421875" style="421" customWidth="1"/>
    <col min="19" max="16384" width="9.140625" style="421" customWidth="1"/>
  </cols>
  <sheetData>
    <row r="1" spans="1:10" ht="36.75" customHeight="1">
      <c r="A1" s="421"/>
      <c r="B1" s="856" t="s">
        <v>364</v>
      </c>
      <c r="D1" s="423"/>
      <c r="H1" s="424" t="s">
        <v>342</v>
      </c>
      <c r="I1" s="1197" t="s">
        <v>331</v>
      </c>
      <c r="J1" s="1197"/>
    </row>
    <row r="2" spans="1:10" ht="24.75" customHeight="1">
      <c r="A2" s="421"/>
      <c r="B2" s="1198" t="s">
        <v>482</v>
      </c>
      <c r="C2" s="1198"/>
      <c r="D2" s="1198"/>
      <c r="E2" s="1198"/>
      <c r="F2" s="1198"/>
      <c r="G2" s="1198"/>
      <c r="H2" s="1198"/>
      <c r="I2" s="1198"/>
      <c r="J2" s="1198"/>
    </row>
    <row r="3" spans="1:10" ht="37.5" customHeight="1">
      <c r="A3" s="1199" t="s">
        <v>708</v>
      </c>
      <c r="B3" s="1200"/>
      <c r="C3" s="1200"/>
      <c r="D3" s="1200"/>
      <c r="E3" s="1200"/>
      <c r="F3" s="1200"/>
      <c r="G3" s="1200"/>
      <c r="H3" s="1200"/>
      <c r="I3" s="1200"/>
      <c r="J3" s="1200"/>
    </row>
    <row r="4" spans="1:10" ht="16.5">
      <c r="A4" s="425"/>
      <c r="B4" s="426"/>
      <c r="C4" s="427"/>
      <c r="D4" s="425"/>
      <c r="E4" s="428"/>
      <c r="F4" s="428"/>
      <c r="G4" s="428"/>
      <c r="H4" s="428"/>
      <c r="I4" s="429"/>
      <c r="J4" s="431"/>
    </row>
    <row r="5" spans="1:10" s="434" customFormat="1" ht="60.75" customHeight="1">
      <c r="A5" s="432" t="s">
        <v>0</v>
      </c>
      <c r="B5" s="432" t="s">
        <v>287</v>
      </c>
      <c r="C5" s="432" t="s">
        <v>184</v>
      </c>
      <c r="D5" s="433" t="s">
        <v>365</v>
      </c>
      <c r="E5" s="433" t="s">
        <v>333</v>
      </c>
      <c r="F5" s="433" t="s">
        <v>334</v>
      </c>
      <c r="G5" s="433" t="s">
        <v>335</v>
      </c>
      <c r="H5" s="433" t="s">
        <v>336</v>
      </c>
      <c r="I5" s="433" t="s">
        <v>337</v>
      </c>
      <c r="J5" s="433" t="s">
        <v>338</v>
      </c>
    </row>
    <row r="6" spans="1:17" ht="36.75" customHeight="1">
      <c r="A6" s="435">
        <v>1</v>
      </c>
      <c r="B6" s="436" t="s">
        <v>366</v>
      </c>
      <c r="C6" s="437" t="s">
        <v>5</v>
      </c>
      <c r="D6" s="438">
        <v>25.03</v>
      </c>
      <c r="E6" s="438">
        <v>25.13</v>
      </c>
      <c r="F6" s="438">
        <v>25.18</v>
      </c>
      <c r="G6" s="438">
        <v>25.25</v>
      </c>
      <c r="H6" s="438">
        <v>25.42</v>
      </c>
      <c r="I6" s="438">
        <v>25.57</v>
      </c>
      <c r="J6" s="439"/>
      <c r="L6" s="438"/>
      <c r="M6" s="438"/>
      <c r="N6" s="438"/>
      <c r="O6" s="438"/>
      <c r="P6" s="438"/>
      <c r="Q6" s="438"/>
    </row>
    <row r="7" spans="1:17" s="441" customFormat="1" ht="29.25" customHeight="1">
      <c r="A7" s="435">
        <v>2</v>
      </c>
      <c r="B7" s="436" t="s">
        <v>367</v>
      </c>
      <c r="C7" s="437" t="s">
        <v>368</v>
      </c>
      <c r="D7" s="438">
        <v>1951.48</v>
      </c>
      <c r="E7" s="440">
        <v>2101.866</v>
      </c>
      <c r="F7" s="440">
        <v>2252.2519999999995</v>
      </c>
      <c r="G7" s="440">
        <v>2402.637999999999</v>
      </c>
      <c r="H7" s="440">
        <v>2553.0239999999985</v>
      </c>
      <c r="I7" s="440">
        <v>2703.41</v>
      </c>
      <c r="J7" s="435"/>
      <c r="L7" s="438"/>
      <c r="M7" s="438"/>
      <c r="N7" s="438"/>
      <c r="O7" s="438"/>
      <c r="P7" s="438"/>
      <c r="Q7" s="438"/>
    </row>
    <row r="8" spans="1:10" s="441" customFormat="1" ht="29.25" customHeight="1">
      <c r="A8" s="435">
        <v>3</v>
      </c>
      <c r="B8" s="442" t="s">
        <v>369</v>
      </c>
      <c r="C8" s="433"/>
      <c r="D8" s="443"/>
      <c r="E8" s="440"/>
      <c r="F8" s="444"/>
      <c r="G8" s="444"/>
      <c r="H8" s="444"/>
      <c r="I8" s="444"/>
      <c r="J8" s="435"/>
    </row>
    <row r="9" spans="1:22" ht="26.25" customHeight="1">
      <c r="A9" s="445"/>
      <c r="B9" s="446" t="s">
        <v>370</v>
      </c>
      <c r="C9" s="437" t="s">
        <v>371</v>
      </c>
      <c r="D9" s="1075">
        <v>1.19246</v>
      </c>
      <c r="E9" s="1076">
        <v>0.252601</v>
      </c>
      <c r="F9" s="1075">
        <v>0.25306357</v>
      </c>
      <c r="G9" s="1075">
        <v>0.25365779</v>
      </c>
      <c r="H9" s="1075">
        <v>0.25672602</v>
      </c>
      <c r="I9" s="1075">
        <v>0.2603622</v>
      </c>
      <c r="J9" s="1077">
        <f>SUM(E9:I9)</f>
        <v>1.2764105799999999</v>
      </c>
      <c r="K9" s="447"/>
      <c r="L9" s="448"/>
      <c r="M9" s="449"/>
      <c r="N9" s="447"/>
      <c r="P9" s="449"/>
      <c r="Q9" s="447"/>
      <c r="S9" s="449"/>
      <c r="T9" s="447"/>
      <c r="V9" s="449"/>
    </row>
    <row r="10" spans="1:20" ht="26.25" customHeight="1">
      <c r="A10" s="445"/>
      <c r="B10" s="446" t="s">
        <v>372</v>
      </c>
      <c r="C10" s="437" t="s">
        <v>371</v>
      </c>
      <c r="D10" s="1075">
        <v>0.82331</v>
      </c>
      <c r="E10" s="453">
        <v>0.17493598</v>
      </c>
      <c r="F10" s="452">
        <v>0.17529235</v>
      </c>
      <c r="G10" s="452">
        <v>0.17722085</v>
      </c>
      <c r="H10" s="452">
        <v>0.17966875</v>
      </c>
      <c r="I10" s="452">
        <v>0.18253313</v>
      </c>
      <c r="J10" s="453">
        <f aca="true" t="shared" si="0" ref="J10:J16">SUM(E10:I10)</f>
        <v>0.8896510599999998</v>
      </c>
      <c r="K10" s="450"/>
      <c r="M10" s="449"/>
      <c r="N10" s="447"/>
      <c r="P10" s="449"/>
      <c r="Q10" s="447"/>
      <c r="S10" s="449"/>
      <c r="T10" s="447"/>
    </row>
    <row r="11" spans="1:22" ht="26.25" customHeight="1">
      <c r="A11" s="445"/>
      <c r="B11" s="446" t="s">
        <v>373</v>
      </c>
      <c r="C11" s="437" t="s">
        <v>371</v>
      </c>
      <c r="D11" s="1075">
        <v>0.36915</v>
      </c>
      <c r="E11" s="1077">
        <v>0.07766534</v>
      </c>
      <c r="F11" s="1075">
        <v>0.07777121</v>
      </c>
      <c r="G11" s="1075">
        <v>0.07643694</v>
      </c>
      <c r="H11" s="1075">
        <v>0.07705727</v>
      </c>
      <c r="I11" s="1075">
        <v>0.07782908</v>
      </c>
      <c r="J11" s="453">
        <f t="shared" si="0"/>
        <v>0.38675984</v>
      </c>
      <c r="K11" s="447"/>
      <c r="L11" s="448"/>
      <c r="M11" s="449"/>
      <c r="N11" s="447"/>
      <c r="P11" s="449"/>
      <c r="Q11" s="447"/>
      <c r="S11" s="449"/>
      <c r="T11" s="447"/>
      <c r="V11" s="449"/>
    </row>
    <row r="12" spans="1:20" ht="26.25" customHeight="1">
      <c r="A12" s="445"/>
      <c r="B12" s="446" t="s">
        <v>374</v>
      </c>
      <c r="C12" s="437" t="s">
        <v>371</v>
      </c>
      <c r="D12" s="1078">
        <v>0.02218</v>
      </c>
      <c r="E12" s="1079">
        <f>(6655)/1000000</f>
        <v>0.006655</v>
      </c>
      <c r="F12" s="1079">
        <f>(9780)/1000000</f>
        <v>0.00978</v>
      </c>
      <c r="G12" s="1079">
        <f>(10197)/1000000</f>
        <v>0.010197</v>
      </c>
      <c r="H12" s="1079">
        <f>(10466)/1000000</f>
        <v>0.010466</v>
      </c>
      <c r="I12" s="1079">
        <f>(10708)/1000000</f>
        <v>0.010708</v>
      </c>
      <c r="J12" s="453">
        <f t="shared" si="0"/>
        <v>0.04780600000000001</v>
      </c>
      <c r="K12" s="447"/>
      <c r="M12" s="449"/>
      <c r="N12" s="447"/>
      <c r="P12" s="449"/>
      <c r="Q12" s="447"/>
      <c r="S12" s="449"/>
      <c r="T12" s="447"/>
    </row>
    <row r="13" spans="1:22" ht="26.25" customHeight="1">
      <c r="A13" s="445"/>
      <c r="B13" s="446" t="s">
        <v>375</v>
      </c>
      <c r="C13" s="437" t="s">
        <v>376</v>
      </c>
      <c r="D13" s="1080"/>
      <c r="E13" s="1081">
        <v>0.158</v>
      </c>
      <c r="F13" s="1081">
        <v>1.211</v>
      </c>
      <c r="G13" s="1081">
        <v>2.012</v>
      </c>
      <c r="H13" s="1081">
        <v>2.642</v>
      </c>
      <c r="I13" s="1081">
        <v>4.141</v>
      </c>
      <c r="J13" s="453">
        <f t="shared" si="0"/>
        <v>10.164</v>
      </c>
      <c r="K13" s="447"/>
      <c r="L13" s="448"/>
      <c r="M13" s="449"/>
      <c r="N13" s="447"/>
      <c r="P13" s="449"/>
      <c r="Q13" s="447"/>
      <c r="S13" s="449"/>
      <c r="T13" s="447"/>
      <c r="V13" s="449"/>
    </row>
    <row r="14" spans="1:22" ht="26.25" customHeight="1">
      <c r="A14" s="445"/>
      <c r="B14" s="446" t="s">
        <v>713</v>
      </c>
      <c r="C14" s="437" t="s">
        <v>714</v>
      </c>
      <c r="D14" s="1080">
        <f>(36.68+36.68)/1000</f>
        <v>0.07336</v>
      </c>
      <c r="E14" s="1081">
        <f>(236.68)/1000</f>
        <v>0.23668</v>
      </c>
      <c r="F14" s="1081">
        <f>(436.68)/1000</f>
        <v>0.43668</v>
      </c>
      <c r="G14" s="1081">
        <f>(636.68)/1000</f>
        <v>0.6366799999999999</v>
      </c>
      <c r="H14" s="1081">
        <f>(836.68)/1000</f>
        <v>0.83668</v>
      </c>
      <c r="I14" s="1081">
        <f>(1036.68)/1000</f>
        <v>1.03668</v>
      </c>
      <c r="J14" s="453">
        <f t="shared" si="0"/>
        <v>3.1834</v>
      </c>
      <c r="K14" s="447"/>
      <c r="L14" s="448"/>
      <c r="M14" s="449"/>
      <c r="N14" s="447"/>
      <c r="P14" s="449"/>
      <c r="Q14" s="447"/>
      <c r="S14" s="449"/>
      <c r="T14" s="447"/>
      <c r="V14" s="449"/>
    </row>
    <row r="15" spans="1:12" ht="26.25" customHeight="1">
      <c r="A15" s="445"/>
      <c r="B15" s="451" t="s">
        <v>377</v>
      </c>
      <c r="C15" s="437" t="s">
        <v>376</v>
      </c>
      <c r="D15" s="1075">
        <v>78.828</v>
      </c>
      <c r="E15" s="452">
        <v>19.19</v>
      </c>
      <c r="F15" s="452">
        <v>21.188</v>
      </c>
      <c r="G15" s="452">
        <v>24.396</v>
      </c>
      <c r="H15" s="452">
        <v>25.734</v>
      </c>
      <c r="I15" s="452">
        <v>28.314</v>
      </c>
      <c r="J15" s="453">
        <f t="shared" si="0"/>
        <v>118.822</v>
      </c>
      <c r="L15" s="421">
        <v>9.092</v>
      </c>
    </row>
    <row r="16" spans="1:12" ht="31.5" customHeight="1">
      <c r="A16" s="445"/>
      <c r="B16" s="451" t="s">
        <v>378</v>
      </c>
      <c r="C16" s="437" t="s">
        <v>379</v>
      </c>
      <c r="D16" s="1075">
        <v>1.169</v>
      </c>
      <c r="E16" s="1075">
        <v>2.701</v>
      </c>
      <c r="F16" s="1075">
        <v>3.06</v>
      </c>
      <c r="G16" s="1075">
        <v>3.07</v>
      </c>
      <c r="H16" s="1075">
        <v>3.06</v>
      </c>
      <c r="I16" s="1075">
        <v>2.97</v>
      </c>
      <c r="J16" s="453">
        <f t="shared" si="0"/>
        <v>14.861</v>
      </c>
      <c r="K16" s="421" t="s">
        <v>527</v>
      </c>
      <c r="L16" s="421" t="s">
        <v>527</v>
      </c>
    </row>
    <row r="17" spans="1:12" ht="33.75" customHeight="1">
      <c r="A17" s="445"/>
      <c r="B17" s="451" t="s">
        <v>380</v>
      </c>
      <c r="C17" s="437" t="s">
        <v>308</v>
      </c>
      <c r="D17" s="1082">
        <v>41.84</v>
      </c>
      <c r="E17" s="1082">
        <v>41.92</v>
      </c>
      <c r="F17" s="1082">
        <v>42.14</v>
      </c>
      <c r="G17" s="1082">
        <v>42.67</v>
      </c>
      <c r="H17" s="1082">
        <v>43.17</v>
      </c>
      <c r="I17" s="1083">
        <v>45</v>
      </c>
      <c r="J17" s="1083">
        <v>45</v>
      </c>
      <c r="L17" s="421" t="s">
        <v>527</v>
      </c>
    </row>
    <row r="18" spans="1:10" ht="30" customHeight="1">
      <c r="A18" s="445"/>
      <c r="B18" s="451" t="s">
        <v>381</v>
      </c>
      <c r="C18" s="437" t="s">
        <v>376</v>
      </c>
      <c r="D18" s="1075">
        <v>8.897</v>
      </c>
      <c r="E18" s="452">
        <v>2.242</v>
      </c>
      <c r="F18" s="452">
        <v>2.411</v>
      </c>
      <c r="G18" s="452">
        <v>2.595</v>
      </c>
      <c r="H18" s="452">
        <v>2.796</v>
      </c>
      <c r="I18" s="452">
        <v>2.998</v>
      </c>
      <c r="J18" s="453">
        <f>SUM(E18:I18)</f>
        <v>13.042000000000002</v>
      </c>
    </row>
    <row r="19" spans="1:12" ht="30.75" customHeight="1">
      <c r="A19" s="445"/>
      <c r="B19" s="451" t="s">
        <v>382</v>
      </c>
      <c r="C19" s="437" t="s">
        <v>379</v>
      </c>
      <c r="D19" s="1075">
        <v>2.001</v>
      </c>
      <c r="E19" s="452">
        <v>2.029</v>
      </c>
      <c r="F19" s="452">
        <v>2.039</v>
      </c>
      <c r="G19" s="452">
        <v>2.056</v>
      </c>
      <c r="H19" s="452">
        <v>2.064</v>
      </c>
      <c r="I19" s="452">
        <v>2.075</v>
      </c>
      <c r="J19" s="453">
        <v>2.075</v>
      </c>
      <c r="L19" s="421" t="s">
        <v>527</v>
      </c>
    </row>
    <row r="20" spans="1:10" ht="16.5">
      <c r="A20" s="454"/>
      <c r="B20" s="455"/>
      <c r="C20" s="430"/>
      <c r="D20" s="456"/>
      <c r="E20" s="457"/>
      <c r="F20" s="457"/>
      <c r="G20" s="457"/>
      <c r="H20" s="457"/>
      <c r="I20" s="457"/>
      <c r="J20" s="431"/>
    </row>
    <row r="21" spans="1:22" ht="16.5">
      <c r="A21" s="454"/>
      <c r="B21" s="458"/>
      <c r="C21" s="430"/>
      <c r="D21" s="456"/>
      <c r="E21" s="459"/>
      <c r="F21" s="457"/>
      <c r="G21" s="457"/>
      <c r="H21" s="457"/>
      <c r="I21" s="457"/>
      <c r="J21" s="431"/>
      <c r="K21" s="447"/>
      <c r="M21" s="449"/>
      <c r="N21" s="447"/>
      <c r="P21" s="449"/>
      <c r="Q21" s="447"/>
      <c r="S21" s="449"/>
      <c r="T21" s="447"/>
      <c r="V21" s="449"/>
    </row>
    <row r="22" spans="1:10" ht="16.5">
      <c r="A22" s="454"/>
      <c r="B22" s="455"/>
      <c r="C22" s="430"/>
      <c r="D22" s="454"/>
      <c r="E22" s="460"/>
      <c r="F22" s="460"/>
      <c r="G22" s="460"/>
      <c r="H22" s="460"/>
      <c r="I22" s="460"/>
      <c r="J22" s="431"/>
    </row>
    <row r="23" spans="1:10" ht="16.5">
      <c r="A23" s="454"/>
      <c r="B23" s="455"/>
      <c r="C23" s="430"/>
      <c r="D23" s="454"/>
      <c r="E23" s="460"/>
      <c r="F23" s="460"/>
      <c r="G23" s="460"/>
      <c r="H23" s="460"/>
      <c r="I23" s="460"/>
      <c r="J23" s="431"/>
    </row>
    <row r="24" spans="1:10" ht="16.5">
      <c r="A24" s="454"/>
      <c r="B24" s="455"/>
      <c r="C24" s="430"/>
      <c r="D24" s="454"/>
      <c r="E24" s="460"/>
      <c r="F24" s="460"/>
      <c r="G24" s="460"/>
      <c r="H24" s="460"/>
      <c r="I24" s="460"/>
      <c r="J24" s="431"/>
    </row>
    <row r="25" spans="1:10" ht="16.5">
      <c r="A25" s="454"/>
      <c r="B25" s="455"/>
      <c r="C25" s="430"/>
      <c r="D25" s="454"/>
      <c r="E25" s="460"/>
      <c r="F25" s="460"/>
      <c r="G25" s="460"/>
      <c r="H25" s="460"/>
      <c r="I25" s="460"/>
      <c r="J25" s="431"/>
    </row>
    <row r="26" spans="1:10" ht="16.5">
      <c r="A26" s="454"/>
      <c r="B26" s="455"/>
      <c r="C26" s="430"/>
      <c r="D26" s="454"/>
      <c r="E26" s="460"/>
      <c r="F26" s="460"/>
      <c r="G26" s="460"/>
      <c r="H26" s="460"/>
      <c r="I26" s="460"/>
      <c r="J26" s="431"/>
    </row>
    <row r="27" spans="1:10" ht="16.5">
      <c r="A27" s="454"/>
      <c r="B27" s="455"/>
      <c r="C27" s="430"/>
      <c r="D27" s="454"/>
      <c r="E27" s="431"/>
      <c r="F27" s="431"/>
      <c r="G27" s="431"/>
      <c r="H27" s="431"/>
      <c r="I27" s="431"/>
      <c r="J27" s="431"/>
    </row>
    <row r="28" spans="1:10" ht="18.75">
      <c r="A28" s="454"/>
      <c r="B28" s="455"/>
      <c r="C28" s="1047">
        <v>3987</v>
      </c>
      <c r="D28" s="454"/>
      <c r="E28" s="431"/>
      <c r="F28" s="431"/>
      <c r="G28" s="431"/>
      <c r="H28" s="431"/>
      <c r="I28" s="431"/>
      <c r="J28" s="431"/>
    </row>
    <row r="29" spans="1:10" ht="18.75">
      <c r="A29" s="454"/>
      <c r="B29" s="455"/>
      <c r="C29" s="1048">
        <v>3328.1</v>
      </c>
      <c r="D29" s="454"/>
      <c r="E29" s="431"/>
      <c r="F29" s="431"/>
      <c r="G29" s="431"/>
      <c r="H29" s="431"/>
      <c r="I29" s="431"/>
      <c r="J29" s="431"/>
    </row>
    <row r="30" spans="1:10" ht="18.75">
      <c r="A30" s="454"/>
      <c r="B30" s="455"/>
      <c r="C30" s="1048">
        <v>1835.2</v>
      </c>
      <c r="D30" s="454"/>
      <c r="E30" s="431"/>
      <c r="F30" s="431"/>
      <c r="G30" s="431"/>
      <c r="H30" s="431"/>
      <c r="I30" s="431"/>
      <c r="J30" s="431"/>
    </row>
    <row r="31" spans="1:10" ht="16.5">
      <c r="A31" s="454"/>
      <c r="B31" s="455"/>
      <c r="C31" s="1049">
        <v>5865</v>
      </c>
      <c r="D31" s="454"/>
      <c r="E31" s="431"/>
      <c r="F31" s="431"/>
      <c r="G31" s="431"/>
      <c r="H31" s="431"/>
      <c r="I31" s="431"/>
      <c r="J31" s="431"/>
    </row>
    <row r="32" spans="1:10" ht="16.5">
      <c r="A32" s="454"/>
      <c r="B32" s="455"/>
      <c r="C32" s="1049">
        <v>370</v>
      </c>
      <c r="D32" s="454"/>
      <c r="E32" s="431"/>
      <c r="F32" s="431"/>
      <c r="G32" s="431"/>
      <c r="H32" s="431"/>
      <c r="I32" s="431"/>
      <c r="J32" s="431"/>
    </row>
    <row r="33" spans="1:10" ht="16.5">
      <c r="A33" s="454"/>
      <c r="B33" s="455"/>
      <c r="C33" s="1049">
        <v>737.721</v>
      </c>
      <c r="D33" s="454"/>
      <c r="E33" s="431"/>
      <c r="F33" s="431"/>
      <c r="G33" s="431"/>
      <c r="H33" s="431"/>
      <c r="I33" s="431"/>
      <c r="J33" s="431"/>
    </row>
    <row r="34" spans="1:10" ht="16.5">
      <c r="A34" s="454"/>
      <c r="B34" s="455"/>
      <c r="C34" s="1050">
        <f>SUM(C28:C33)</f>
        <v>16123.021</v>
      </c>
      <c r="D34" s="454"/>
      <c r="E34" s="431"/>
      <c r="F34" s="431"/>
      <c r="G34" s="431"/>
      <c r="H34" s="431"/>
      <c r="I34" s="431"/>
      <c r="J34" s="431"/>
    </row>
    <row r="35" spans="1:10" ht="16.5">
      <c r="A35" s="454"/>
      <c r="B35" s="455"/>
      <c r="C35" s="430"/>
      <c r="D35" s="454"/>
      <c r="E35" s="431"/>
      <c r="F35" s="431"/>
      <c r="G35" s="431"/>
      <c r="H35" s="431"/>
      <c r="I35" s="431"/>
      <c r="J35" s="431"/>
    </row>
    <row r="36" spans="1:10" ht="16.5">
      <c r="A36" s="454"/>
      <c r="B36" s="455"/>
      <c r="C36" s="430"/>
      <c r="D36" s="454"/>
      <c r="E36" s="431"/>
      <c r="F36" s="431"/>
      <c r="G36" s="431"/>
      <c r="H36" s="431"/>
      <c r="I36" s="431"/>
      <c r="J36" s="431"/>
    </row>
    <row r="37" spans="1:10" ht="16.5">
      <c r="A37" s="454"/>
      <c r="B37" s="455"/>
      <c r="C37" s="430"/>
      <c r="D37" s="454"/>
      <c r="E37" s="431"/>
      <c r="F37" s="431"/>
      <c r="G37" s="431"/>
      <c r="H37" s="431"/>
      <c r="I37" s="431"/>
      <c r="J37" s="431"/>
    </row>
    <row r="38" spans="1:10" ht="16.5">
      <c r="A38" s="454"/>
      <c r="B38" s="455"/>
      <c r="C38" s="430"/>
      <c r="D38" s="454"/>
      <c r="E38" s="431"/>
      <c r="F38" s="431"/>
      <c r="G38" s="431"/>
      <c r="H38" s="431"/>
      <c r="I38" s="431"/>
      <c r="J38" s="431"/>
    </row>
    <row r="39" spans="1:10" ht="16.5">
      <c r="A39" s="454"/>
      <c r="B39" s="455"/>
      <c r="C39" s="430"/>
      <c r="D39" s="454"/>
      <c r="E39" s="431"/>
      <c r="F39" s="431"/>
      <c r="G39" s="431"/>
      <c r="H39" s="431"/>
      <c r="I39" s="431"/>
      <c r="J39" s="431"/>
    </row>
    <row r="40" spans="1:10" ht="16.5">
      <c r="A40" s="454"/>
      <c r="B40" s="455"/>
      <c r="C40" s="430"/>
      <c r="D40" s="454"/>
      <c r="E40" s="431"/>
      <c r="F40" s="431"/>
      <c r="G40" s="431"/>
      <c r="H40" s="431"/>
      <c r="I40" s="431"/>
      <c r="J40" s="431"/>
    </row>
    <row r="41" spans="1:10" ht="16.5">
      <c r="A41" s="454"/>
      <c r="B41" s="455"/>
      <c r="C41" s="430"/>
      <c r="D41" s="454"/>
      <c r="E41" s="431"/>
      <c r="F41" s="431"/>
      <c r="G41" s="431"/>
      <c r="H41" s="431"/>
      <c r="I41" s="431"/>
      <c r="J41" s="431"/>
    </row>
    <row r="42" spans="1:10" ht="16.5">
      <c r="A42" s="454"/>
      <c r="B42" s="455"/>
      <c r="C42" s="430"/>
      <c r="D42" s="454"/>
      <c r="E42" s="431"/>
      <c r="F42" s="431"/>
      <c r="G42" s="431"/>
      <c r="H42" s="431"/>
      <c r="I42" s="431"/>
      <c r="J42" s="431"/>
    </row>
    <row r="43" spans="1:10" ht="16.5">
      <c r="A43" s="454"/>
      <c r="B43" s="455"/>
      <c r="C43" s="430"/>
      <c r="D43" s="454"/>
      <c r="E43" s="431"/>
      <c r="F43" s="431"/>
      <c r="G43" s="431"/>
      <c r="H43" s="431"/>
      <c r="I43" s="431"/>
      <c r="J43" s="431"/>
    </row>
    <row r="44" spans="1:10" ht="16.5">
      <c r="A44" s="454"/>
      <c r="B44" s="455"/>
      <c r="C44" s="430"/>
      <c r="D44" s="454"/>
      <c r="E44" s="431"/>
      <c r="F44" s="431"/>
      <c r="G44" s="431"/>
      <c r="H44" s="431"/>
      <c r="I44" s="431"/>
      <c r="J44" s="431"/>
    </row>
    <row r="45" spans="1:10" ht="16.5">
      <c r="A45" s="454"/>
      <c r="B45" s="455"/>
      <c r="C45" s="430"/>
      <c r="D45" s="454"/>
      <c r="E45" s="431"/>
      <c r="F45" s="431"/>
      <c r="G45" s="431"/>
      <c r="H45" s="431"/>
      <c r="I45" s="431"/>
      <c r="J45" s="431"/>
    </row>
    <row r="46" spans="1:10" ht="16.5">
      <c r="A46" s="454"/>
      <c r="B46" s="455"/>
      <c r="C46" s="430"/>
      <c r="D46" s="454"/>
      <c r="E46" s="431"/>
      <c r="F46" s="431"/>
      <c r="G46" s="431"/>
      <c r="H46" s="431"/>
      <c r="I46" s="431"/>
      <c r="J46" s="431"/>
    </row>
    <row r="47" spans="1:10" ht="16.5">
      <c r="A47" s="454"/>
      <c r="B47" s="455"/>
      <c r="C47" s="430"/>
      <c r="D47" s="454"/>
      <c r="E47" s="431"/>
      <c r="F47" s="431"/>
      <c r="G47" s="431"/>
      <c r="H47" s="431"/>
      <c r="I47" s="431"/>
      <c r="J47" s="431"/>
    </row>
    <row r="48" spans="1:10" ht="16.5">
      <c r="A48" s="454"/>
      <c r="B48" s="455"/>
      <c r="C48" s="430"/>
      <c r="D48" s="454"/>
      <c r="E48" s="431"/>
      <c r="F48" s="431"/>
      <c r="G48" s="431"/>
      <c r="H48" s="431"/>
      <c r="I48" s="431"/>
      <c r="J48" s="431"/>
    </row>
    <row r="49" spans="1:10" ht="16.5">
      <c r="A49" s="454"/>
      <c r="B49" s="455"/>
      <c r="C49" s="430"/>
      <c r="D49" s="454"/>
      <c r="E49" s="431"/>
      <c r="F49" s="431"/>
      <c r="G49" s="431"/>
      <c r="H49" s="431"/>
      <c r="I49" s="431"/>
      <c r="J49" s="431"/>
    </row>
    <row r="50" spans="1:10" ht="16.5">
      <c r="A50" s="454"/>
      <c r="B50" s="455"/>
      <c r="C50" s="430"/>
      <c r="D50" s="454"/>
      <c r="E50" s="431"/>
      <c r="F50" s="431"/>
      <c r="G50" s="431"/>
      <c r="H50" s="431"/>
      <c r="I50" s="431"/>
      <c r="J50" s="431"/>
    </row>
    <row r="51" spans="1:10" ht="16.5">
      <c r="A51" s="454"/>
      <c r="B51" s="455"/>
      <c r="C51" s="430"/>
      <c r="D51" s="454"/>
      <c r="E51" s="431"/>
      <c r="F51" s="431"/>
      <c r="G51" s="431"/>
      <c r="H51" s="431"/>
      <c r="I51" s="431"/>
      <c r="J51" s="431"/>
    </row>
    <row r="52" spans="1:10" ht="16.5">
      <c r="A52" s="454"/>
      <c r="B52" s="455"/>
      <c r="C52" s="430"/>
      <c r="D52" s="454"/>
      <c r="E52" s="431"/>
      <c r="F52" s="431"/>
      <c r="G52" s="431"/>
      <c r="H52" s="431"/>
      <c r="I52" s="431"/>
      <c r="J52" s="431"/>
    </row>
    <row r="53" spans="1:10" ht="16.5">
      <c r="A53" s="454"/>
      <c r="B53" s="455"/>
      <c r="C53" s="430"/>
      <c r="D53" s="454"/>
      <c r="E53" s="431"/>
      <c r="F53" s="431"/>
      <c r="G53" s="431"/>
      <c r="H53" s="431"/>
      <c r="I53" s="431"/>
      <c r="J53" s="431"/>
    </row>
    <row r="54" spans="1:10" ht="16.5">
      <c r="A54" s="454"/>
      <c r="B54" s="455"/>
      <c r="C54" s="430"/>
      <c r="D54" s="454"/>
      <c r="E54" s="431"/>
      <c r="F54" s="431"/>
      <c r="G54" s="431"/>
      <c r="H54" s="431"/>
      <c r="I54" s="431"/>
      <c r="J54" s="431"/>
    </row>
    <row r="55" spans="1:10" ht="16.5">
      <c r="A55" s="454"/>
      <c r="B55" s="455"/>
      <c r="C55" s="430"/>
      <c r="D55" s="454"/>
      <c r="E55" s="431"/>
      <c r="F55" s="431"/>
      <c r="G55" s="431"/>
      <c r="H55" s="431"/>
      <c r="I55" s="431"/>
      <c r="J55" s="431"/>
    </row>
    <row r="56" spans="1:10" ht="16.5">
      <c r="A56" s="454"/>
      <c r="B56" s="455"/>
      <c r="C56" s="430"/>
      <c r="D56" s="454"/>
      <c r="E56" s="431"/>
      <c r="F56" s="431"/>
      <c r="G56" s="431"/>
      <c r="H56" s="431"/>
      <c r="I56" s="431"/>
      <c r="J56" s="431"/>
    </row>
    <row r="57" spans="1:10" ht="16.5">
      <c r="A57" s="454"/>
      <c r="B57" s="455"/>
      <c r="C57" s="430"/>
      <c r="D57" s="454"/>
      <c r="E57" s="431"/>
      <c r="F57" s="431"/>
      <c r="G57" s="431"/>
      <c r="H57" s="431"/>
      <c r="I57" s="431"/>
      <c r="J57" s="431"/>
    </row>
    <row r="58" spans="1:10" ht="16.5">
      <c r="A58" s="454"/>
      <c r="B58" s="455"/>
      <c r="C58" s="430"/>
      <c r="D58" s="454"/>
      <c r="E58" s="431"/>
      <c r="F58" s="431"/>
      <c r="G58" s="431"/>
      <c r="H58" s="431"/>
      <c r="I58" s="431"/>
      <c r="J58" s="431"/>
    </row>
    <row r="59" spans="1:10" ht="16.5">
      <c r="A59" s="454"/>
      <c r="B59" s="455"/>
      <c r="C59" s="430"/>
      <c r="D59" s="454"/>
      <c r="E59" s="431"/>
      <c r="F59" s="431"/>
      <c r="G59" s="431"/>
      <c r="H59" s="431"/>
      <c r="I59" s="431"/>
      <c r="J59" s="431"/>
    </row>
    <row r="60" spans="1:10" ht="16.5">
      <c r="A60" s="454"/>
      <c r="B60" s="455"/>
      <c r="C60" s="430"/>
      <c r="D60" s="454"/>
      <c r="E60" s="431"/>
      <c r="F60" s="431"/>
      <c r="G60" s="431"/>
      <c r="H60" s="431"/>
      <c r="I60" s="431"/>
      <c r="J60" s="431"/>
    </row>
    <row r="61" spans="1:10" ht="16.5">
      <c r="A61" s="454"/>
      <c r="B61" s="455"/>
      <c r="C61" s="430"/>
      <c r="D61" s="454"/>
      <c r="E61" s="431"/>
      <c r="F61" s="431"/>
      <c r="G61" s="431"/>
      <c r="H61" s="431"/>
      <c r="I61" s="431"/>
      <c r="J61" s="431"/>
    </row>
    <row r="62" spans="1:10" ht="16.5">
      <c r="A62" s="454"/>
      <c r="B62" s="455"/>
      <c r="C62" s="430"/>
      <c r="D62" s="454"/>
      <c r="E62" s="431"/>
      <c r="F62" s="431"/>
      <c r="G62" s="431"/>
      <c r="H62" s="431"/>
      <c r="I62" s="431"/>
      <c r="J62" s="431"/>
    </row>
    <row r="63" spans="1:10" ht="16.5">
      <c r="A63" s="454"/>
      <c r="B63" s="455"/>
      <c r="C63" s="430"/>
      <c r="D63" s="454"/>
      <c r="E63" s="431"/>
      <c r="F63" s="431"/>
      <c r="G63" s="431"/>
      <c r="H63" s="431"/>
      <c r="I63" s="431"/>
      <c r="J63" s="431"/>
    </row>
    <row r="64" spans="1:10" ht="16.5">
      <c r="A64" s="454"/>
      <c r="B64" s="455"/>
      <c r="C64" s="430"/>
      <c r="D64" s="454"/>
      <c r="E64" s="431"/>
      <c r="F64" s="431"/>
      <c r="G64" s="431"/>
      <c r="H64" s="431"/>
      <c r="I64" s="431"/>
      <c r="J64" s="431"/>
    </row>
    <row r="65" spans="1:10" ht="16.5">
      <c r="A65" s="454"/>
      <c r="B65" s="455"/>
      <c r="C65" s="430"/>
      <c r="D65" s="454"/>
      <c r="E65" s="431"/>
      <c r="F65" s="431"/>
      <c r="G65" s="431"/>
      <c r="H65" s="431"/>
      <c r="I65" s="431"/>
      <c r="J65" s="431"/>
    </row>
    <row r="66" spans="1:10" ht="16.5">
      <c r="A66" s="454"/>
      <c r="B66" s="455"/>
      <c r="C66" s="430"/>
      <c r="D66" s="454"/>
      <c r="E66" s="431"/>
      <c r="F66" s="431"/>
      <c r="G66" s="431"/>
      <c r="H66" s="431"/>
      <c r="I66" s="431"/>
      <c r="J66" s="431"/>
    </row>
    <row r="67" spans="1:10" ht="16.5">
      <c r="A67" s="454"/>
      <c r="B67" s="455"/>
      <c r="C67" s="430"/>
      <c r="D67" s="454"/>
      <c r="E67" s="431"/>
      <c r="F67" s="431"/>
      <c r="G67" s="431"/>
      <c r="H67" s="431"/>
      <c r="I67" s="431"/>
      <c r="J67" s="431"/>
    </row>
    <row r="68" spans="1:10" ht="16.5">
      <c r="A68" s="454"/>
      <c r="B68" s="455"/>
      <c r="C68" s="430"/>
      <c r="D68" s="454"/>
      <c r="E68" s="431"/>
      <c r="F68" s="431"/>
      <c r="G68" s="431"/>
      <c r="H68" s="431"/>
      <c r="I68" s="431"/>
      <c r="J68" s="431"/>
    </row>
    <row r="69" spans="1:10" ht="16.5">
      <c r="A69" s="454"/>
      <c r="B69" s="455"/>
      <c r="C69" s="430"/>
      <c r="D69" s="454"/>
      <c r="E69" s="431"/>
      <c r="F69" s="431"/>
      <c r="G69" s="431"/>
      <c r="H69" s="431"/>
      <c r="I69" s="431"/>
      <c r="J69" s="431"/>
    </row>
    <row r="70" spans="1:10" ht="16.5">
      <c r="A70" s="454"/>
      <c r="B70" s="455"/>
      <c r="C70" s="430"/>
      <c r="D70" s="454"/>
      <c r="E70" s="431"/>
      <c r="F70" s="431"/>
      <c r="G70" s="431"/>
      <c r="H70" s="431"/>
      <c r="I70" s="431"/>
      <c r="J70" s="431"/>
    </row>
    <row r="71" spans="1:10" ht="16.5">
      <c r="A71" s="454"/>
      <c r="B71" s="455"/>
      <c r="C71" s="430"/>
      <c r="D71" s="454"/>
      <c r="E71" s="431"/>
      <c r="F71" s="431"/>
      <c r="G71" s="431"/>
      <c r="H71" s="431"/>
      <c r="I71" s="431"/>
      <c r="J71" s="431"/>
    </row>
    <row r="72" spans="1:10" ht="16.5">
      <c r="A72" s="454"/>
      <c r="B72" s="455"/>
      <c r="C72" s="430"/>
      <c r="D72" s="454"/>
      <c r="E72" s="431"/>
      <c r="F72" s="431"/>
      <c r="G72" s="431"/>
      <c r="H72" s="431"/>
      <c r="I72" s="431"/>
      <c r="J72" s="431"/>
    </row>
    <row r="73" spans="1:10" ht="16.5">
      <c r="A73" s="454"/>
      <c r="B73" s="455"/>
      <c r="C73" s="430"/>
      <c r="D73" s="454"/>
      <c r="E73" s="431"/>
      <c r="F73" s="431"/>
      <c r="G73" s="431"/>
      <c r="H73" s="431"/>
      <c r="I73" s="431"/>
      <c r="J73" s="431"/>
    </row>
    <row r="74" spans="1:10" ht="16.5">
      <c r="A74" s="454"/>
      <c r="B74" s="455"/>
      <c r="C74" s="430"/>
      <c r="D74" s="454"/>
      <c r="E74" s="431"/>
      <c r="F74" s="431"/>
      <c r="G74" s="431"/>
      <c r="H74" s="431"/>
      <c r="I74" s="431"/>
      <c r="J74" s="431"/>
    </row>
    <row r="75" spans="1:10" ht="16.5">
      <c r="A75" s="454"/>
      <c r="B75" s="455"/>
      <c r="C75" s="430"/>
      <c r="D75" s="454"/>
      <c r="E75" s="431"/>
      <c r="F75" s="431"/>
      <c r="G75" s="431"/>
      <c r="H75" s="431"/>
      <c r="I75" s="431"/>
      <c r="J75" s="431"/>
    </row>
    <row r="76" spans="1:10" ht="16.5">
      <c r="A76" s="454"/>
      <c r="B76" s="455"/>
      <c r="C76" s="430"/>
      <c r="D76" s="454"/>
      <c r="E76" s="431"/>
      <c r="F76" s="431"/>
      <c r="G76" s="431"/>
      <c r="H76" s="431"/>
      <c r="I76" s="431"/>
      <c r="J76" s="431"/>
    </row>
    <row r="77" spans="1:10" ht="16.5">
      <c r="A77" s="454"/>
      <c r="B77" s="455"/>
      <c r="C77" s="430"/>
      <c r="D77" s="454"/>
      <c r="E77" s="431"/>
      <c r="F77" s="431"/>
      <c r="G77" s="431"/>
      <c r="H77" s="431"/>
      <c r="I77" s="431"/>
      <c r="J77" s="431"/>
    </row>
    <row r="78" spans="1:10" ht="16.5">
      <c r="A78" s="454"/>
      <c r="B78" s="455"/>
      <c r="C78" s="430"/>
      <c r="D78" s="454"/>
      <c r="E78" s="431"/>
      <c r="F78" s="431"/>
      <c r="G78" s="431"/>
      <c r="H78" s="431"/>
      <c r="I78" s="431"/>
      <c r="J78" s="431"/>
    </row>
    <row r="79" spans="1:10" ht="16.5">
      <c r="A79" s="454"/>
      <c r="B79" s="455"/>
      <c r="C79" s="430"/>
      <c r="D79" s="454"/>
      <c r="E79" s="431"/>
      <c r="F79" s="431"/>
      <c r="G79" s="431"/>
      <c r="H79" s="431"/>
      <c r="I79" s="431"/>
      <c r="J79" s="431"/>
    </row>
    <row r="80" spans="1:10" ht="16.5">
      <c r="A80" s="454"/>
      <c r="B80" s="455"/>
      <c r="C80" s="430"/>
      <c r="D80" s="454"/>
      <c r="E80" s="431"/>
      <c r="F80" s="431"/>
      <c r="G80" s="431"/>
      <c r="H80" s="431"/>
      <c r="I80" s="431"/>
      <c r="J80" s="431"/>
    </row>
    <row r="81" spans="1:10" ht="16.5">
      <c r="A81" s="454"/>
      <c r="B81" s="455"/>
      <c r="C81" s="430"/>
      <c r="D81" s="454"/>
      <c r="E81" s="431"/>
      <c r="F81" s="431"/>
      <c r="G81" s="431"/>
      <c r="H81" s="431"/>
      <c r="I81" s="431"/>
      <c r="J81" s="431"/>
    </row>
    <row r="82" spans="1:10" ht="16.5">
      <c r="A82" s="454"/>
      <c r="B82" s="455"/>
      <c r="C82" s="430"/>
      <c r="D82" s="454"/>
      <c r="E82" s="431"/>
      <c r="F82" s="431"/>
      <c r="G82" s="431"/>
      <c r="H82" s="431"/>
      <c r="I82" s="431"/>
      <c r="J82" s="431"/>
    </row>
    <row r="83" spans="1:10" ht="16.5">
      <c r="A83" s="454"/>
      <c r="B83" s="455"/>
      <c r="C83" s="430"/>
      <c r="D83" s="454"/>
      <c r="E83" s="431"/>
      <c r="F83" s="431"/>
      <c r="G83" s="431"/>
      <c r="H83" s="431"/>
      <c r="I83" s="431"/>
      <c r="J83" s="431"/>
    </row>
    <row r="84" spans="1:10" ht="16.5">
      <c r="A84" s="454"/>
      <c r="B84" s="455"/>
      <c r="C84" s="430"/>
      <c r="D84" s="454"/>
      <c r="E84" s="431"/>
      <c r="F84" s="431"/>
      <c r="G84" s="431"/>
      <c r="H84" s="431"/>
      <c r="I84" s="431"/>
      <c r="J84" s="431"/>
    </row>
    <row r="85" spans="1:10" ht="16.5">
      <c r="A85" s="454"/>
      <c r="B85" s="455"/>
      <c r="C85" s="430"/>
      <c r="D85" s="454"/>
      <c r="E85" s="431"/>
      <c r="F85" s="431"/>
      <c r="G85" s="431"/>
      <c r="H85" s="431"/>
      <c r="I85" s="431"/>
      <c r="J85" s="431"/>
    </row>
    <row r="86" spans="1:10" ht="16.5">
      <c r="A86" s="454"/>
      <c r="B86" s="455"/>
      <c r="C86" s="430"/>
      <c r="D86" s="454"/>
      <c r="E86" s="431"/>
      <c r="F86" s="431"/>
      <c r="G86" s="431"/>
      <c r="H86" s="431"/>
      <c r="I86" s="431"/>
      <c r="J86" s="431"/>
    </row>
    <row r="87" spans="1:10" ht="16.5">
      <c r="A87" s="454"/>
      <c r="B87" s="455"/>
      <c r="C87" s="430"/>
      <c r="D87" s="454"/>
      <c r="E87" s="431"/>
      <c r="F87" s="431"/>
      <c r="G87" s="431"/>
      <c r="H87" s="431"/>
      <c r="I87" s="431"/>
      <c r="J87" s="431"/>
    </row>
    <row r="88" spans="1:10" ht="16.5">
      <c r="A88" s="454"/>
      <c r="B88" s="455"/>
      <c r="C88" s="430"/>
      <c r="D88" s="454"/>
      <c r="E88" s="431"/>
      <c r="F88" s="431"/>
      <c r="G88" s="431"/>
      <c r="H88" s="431"/>
      <c r="I88" s="431"/>
      <c r="J88" s="431"/>
    </row>
    <row r="89" spans="1:10" ht="16.5">
      <c r="A89" s="454"/>
      <c r="B89" s="455"/>
      <c r="C89" s="430"/>
      <c r="D89" s="454"/>
      <c r="E89" s="431"/>
      <c r="F89" s="431"/>
      <c r="G89" s="431"/>
      <c r="H89" s="431"/>
      <c r="I89" s="431"/>
      <c r="J89" s="431"/>
    </row>
    <row r="90" spans="1:10" ht="16.5">
      <c r="A90" s="454"/>
      <c r="B90" s="455"/>
      <c r="C90" s="430"/>
      <c r="D90" s="454"/>
      <c r="E90" s="431"/>
      <c r="F90" s="431"/>
      <c r="G90" s="431"/>
      <c r="H90" s="431"/>
      <c r="I90" s="431"/>
      <c r="J90" s="431"/>
    </row>
    <row r="91" spans="1:10" ht="16.5">
      <c r="A91" s="454"/>
      <c r="B91" s="455"/>
      <c r="C91" s="430"/>
      <c r="D91" s="454"/>
      <c r="E91" s="431"/>
      <c r="F91" s="431"/>
      <c r="G91" s="431"/>
      <c r="H91" s="431"/>
      <c r="I91" s="431"/>
      <c r="J91" s="431"/>
    </row>
    <row r="92" spans="1:10" ht="16.5">
      <c r="A92" s="454"/>
      <c r="B92" s="455"/>
      <c r="C92" s="430"/>
      <c r="D92" s="454"/>
      <c r="E92" s="431"/>
      <c r="F92" s="431"/>
      <c r="G92" s="431"/>
      <c r="H92" s="431"/>
      <c r="I92" s="431"/>
      <c r="J92" s="431"/>
    </row>
    <row r="93" spans="1:10" ht="16.5">
      <c r="A93" s="454"/>
      <c r="B93" s="455"/>
      <c r="C93" s="430"/>
      <c r="D93" s="454"/>
      <c r="E93" s="431"/>
      <c r="F93" s="431"/>
      <c r="G93" s="431"/>
      <c r="H93" s="431"/>
      <c r="I93" s="431"/>
      <c r="J93" s="431"/>
    </row>
    <row r="94" spans="1:10" ht="16.5">
      <c r="A94" s="454"/>
      <c r="B94" s="455"/>
      <c r="C94" s="430"/>
      <c r="D94" s="454"/>
      <c r="E94" s="431"/>
      <c r="F94" s="431"/>
      <c r="G94" s="431"/>
      <c r="H94" s="431"/>
      <c r="I94" s="431"/>
      <c r="J94" s="431"/>
    </row>
    <row r="95" spans="1:10" ht="16.5">
      <c r="A95" s="454"/>
      <c r="B95" s="455"/>
      <c r="C95" s="430"/>
      <c r="D95" s="454"/>
      <c r="E95" s="431"/>
      <c r="F95" s="431"/>
      <c r="G95" s="431"/>
      <c r="H95" s="431"/>
      <c r="I95" s="431"/>
      <c r="J95" s="431"/>
    </row>
    <row r="96" spans="1:10" ht="16.5">
      <c r="A96" s="454"/>
      <c r="B96" s="455"/>
      <c r="C96" s="430"/>
      <c r="D96" s="454"/>
      <c r="E96" s="431"/>
      <c r="F96" s="431"/>
      <c r="G96" s="431"/>
      <c r="H96" s="431"/>
      <c r="I96" s="431"/>
      <c r="J96" s="431"/>
    </row>
    <row r="97" spans="1:10" ht="16.5">
      <c r="A97" s="454"/>
      <c r="B97" s="455"/>
      <c r="C97" s="430"/>
      <c r="D97" s="454"/>
      <c r="E97" s="431"/>
      <c r="F97" s="431"/>
      <c r="G97" s="431"/>
      <c r="H97" s="431"/>
      <c r="I97" s="431"/>
      <c r="J97" s="431"/>
    </row>
    <row r="98" spans="1:10" ht="16.5">
      <c r="A98" s="454"/>
      <c r="B98" s="455"/>
      <c r="C98" s="430"/>
      <c r="D98" s="454"/>
      <c r="E98" s="431"/>
      <c r="F98" s="431"/>
      <c r="G98" s="431"/>
      <c r="H98" s="431"/>
      <c r="I98" s="431"/>
      <c r="J98" s="431"/>
    </row>
    <row r="99" spans="1:10" ht="16.5">
      <c r="A99" s="454"/>
      <c r="B99" s="455"/>
      <c r="C99" s="430"/>
      <c r="D99" s="454"/>
      <c r="E99" s="431"/>
      <c r="F99" s="431"/>
      <c r="G99" s="431"/>
      <c r="H99" s="431"/>
      <c r="I99" s="431"/>
      <c r="J99" s="431"/>
    </row>
    <row r="100" spans="1:10" ht="16.5">
      <c r="A100" s="454"/>
      <c r="B100" s="455"/>
      <c r="C100" s="430"/>
      <c r="D100" s="454"/>
      <c r="E100" s="431"/>
      <c r="F100" s="431"/>
      <c r="G100" s="431"/>
      <c r="H100" s="431"/>
      <c r="I100" s="431"/>
      <c r="J100" s="431"/>
    </row>
    <row r="101" spans="1:10" ht="16.5">
      <c r="A101" s="454"/>
      <c r="B101" s="455"/>
      <c r="C101" s="430"/>
      <c r="D101" s="454"/>
      <c r="E101" s="431"/>
      <c r="F101" s="431"/>
      <c r="G101" s="431"/>
      <c r="H101" s="431"/>
      <c r="I101" s="431"/>
      <c r="J101" s="431"/>
    </row>
    <row r="102" spans="1:10" ht="16.5">
      <c r="A102" s="454"/>
      <c r="B102" s="455"/>
      <c r="C102" s="430"/>
      <c r="D102" s="454"/>
      <c r="E102" s="431"/>
      <c r="F102" s="431"/>
      <c r="G102" s="431"/>
      <c r="H102" s="431"/>
      <c r="I102" s="431"/>
      <c r="J102" s="431"/>
    </row>
    <row r="103" spans="1:10" ht="16.5">
      <c r="A103" s="454"/>
      <c r="B103" s="455"/>
      <c r="C103" s="430"/>
      <c r="D103" s="454"/>
      <c r="E103" s="431"/>
      <c r="F103" s="431"/>
      <c r="G103" s="431"/>
      <c r="H103" s="431"/>
      <c r="I103" s="431"/>
      <c r="J103" s="431"/>
    </row>
    <row r="104" spans="1:10" ht="16.5">
      <c r="A104" s="454"/>
      <c r="B104" s="455"/>
      <c r="C104" s="430"/>
      <c r="D104" s="454"/>
      <c r="E104" s="431"/>
      <c r="F104" s="431"/>
      <c r="G104" s="431"/>
      <c r="H104" s="431"/>
      <c r="I104" s="431"/>
      <c r="J104" s="431"/>
    </row>
    <row r="105" spans="1:10" ht="16.5">
      <c r="A105" s="454"/>
      <c r="B105" s="455"/>
      <c r="C105" s="430"/>
      <c r="D105" s="454"/>
      <c r="E105" s="431"/>
      <c r="F105" s="431"/>
      <c r="G105" s="431"/>
      <c r="H105" s="431"/>
      <c r="I105" s="431"/>
      <c r="J105" s="431"/>
    </row>
    <row r="106" spans="1:10" ht="16.5">
      <c r="A106" s="454"/>
      <c r="B106" s="455"/>
      <c r="C106" s="430"/>
      <c r="D106" s="454"/>
      <c r="E106" s="431"/>
      <c r="F106" s="431"/>
      <c r="G106" s="431"/>
      <c r="H106" s="431"/>
      <c r="I106" s="431"/>
      <c r="J106" s="431"/>
    </row>
    <row r="107" spans="1:10" ht="16.5">
      <c r="A107" s="454"/>
      <c r="B107" s="455"/>
      <c r="C107" s="430"/>
      <c r="D107" s="454"/>
      <c r="E107" s="431"/>
      <c r="F107" s="431"/>
      <c r="G107" s="431"/>
      <c r="H107" s="431"/>
      <c r="I107" s="431"/>
      <c r="J107" s="431"/>
    </row>
    <row r="108" spans="1:10" ht="16.5">
      <c r="A108" s="454"/>
      <c r="B108" s="455"/>
      <c r="C108" s="430"/>
      <c r="D108" s="454"/>
      <c r="E108" s="431"/>
      <c r="F108" s="431"/>
      <c r="G108" s="431"/>
      <c r="H108" s="431"/>
      <c r="I108" s="431"/>
      <c r="J108" s="431"/>
    </row>
    <row r="109" spans="1:10" ht="16.5">
      <c r="A109" s="454"/>
      <c r="B109" s="455"/>
      <c r="C109" s="430"/>
      <c r="D109" s="454"/>
      <c r="E109" s="431"/>
      <c r="F109" s="431"/>
      <c r="G109" s="431"/>
      <c r="H109" s="431"/>
      <c r="I109" s="431"/>
      <c r="J109" s="431"/>
    </row>
    <row r="110" spans="1:10" ht="16.5">
      <c r="A110" s="454"/>
      <c r="B110" s="455"/>
      <c r="C110" s="430"/>
      <c r="D110" s="454"/>
      <c r="E110" s="431"/>
      <c r="F110" s="431"/>
      <c r="G110" s="431"/>
      <c r="H110" s="431"/>
      <c r="I110" s="431"/>
      <c r="J110" s="431"/>
    </row>
    <row r="111" spans="1:10" ht="16.5">
      <c r="A111" s="454"/>
      <c r="B111" s="455"/>
      <c r="C111" s="430"/>
      <c r="D111" s="454"/>
      <c r="E111" s="431"/>
      <c r="F111" s="431"/>
      <c r="G111" s="431"/>
      <c r="H111" s="431"/>
      <c r="I111" s="431"/>
      <c r="J111" s="431"/>
    </row>
    <row r="112" spans="1:10" ht="16.5">
      <c r="A112" s="454"/>
      <c r="B112" s="455"/>
      <c r="C112" s="430"/>
      <c r="D112" s="454"/>
      <c r="E112" s="431"/>
      <c r="F112" s="431"/>
      <c r="G112" s="431"/>
      <c r="H112" s="431"/>
      <c r="I112" s="431"/>
      <c r="J112" s="431"/>
    </row>
    <row r="113" spans="1:10" ht="16.5">
      <c r="A113" s="454"/>
      <c r="B113" s="455"/>
      <c r="C113" s="430"/>
      <c r="D113" s="454"/>
      <c r="E113" s="431"/>
      <c r="F113" s="431"/>
      <c r="G113" s="431"/>
      <c r="H113" s="431"/>
      <c r="I113" s="431"/>
      <c r="J113" s="431"/>
    </row>
    <row r="114" spans="1:10" ht="16.5">
      <c r="A114" s="454"/>
      <c r="B114" s="455"/>
      <c r="C114" s="430"/>
      <c r="D114" s="454"/>
      <c r="E114" s="431"/>
      <c r="F114" s="431"/>
      <c r="G114" s="431"/>
      <c r="H114" s="431"/>
      <c r="I114" s="431"/>
      <c r="J114" s="431"/>
    </row>
    <row r="115" spans="1:10" ht="16.5">
      <c r="A115" s="454"/>
      <c r="B115" s="455"/>
      <c r="C115" s="430"/>
      <c r="D115" s="454"/>
      <c r="E115" s="431"/>
      <c r="F115" s="431"/>
      <c r="G115" s="431"/>
      <c r="H115" s="431"/>
      <c r="I115" s="431"/>
      <c r="J115" s="431"/>
    </row>
    <row r="116" spans="1:10" ht="16.5">
      <c r="A116" s="454"/>
      <c r="B116" s="455"/>
      <c r="C116" s="430"/>
      <c r="D116" s="454"/>
      <c r="E116" s="431"/>
      <c r="F116" s="431"/>
      <c r="G116" s="431"/>
      <c r="H116" s="431"/>
      <c r="I116" s="431"/>
      <c r="J116" s="431"/>
    </row>
    <row r="117" spans="1:10" ht="16.5">
      <c r="A117" s="454"/>
      <c r="B117" s="455"/>
      <c r="C117" s="430"/>
      <c r="D117" s="454"/>
      <c r="E117" s="431"/>
      <c r="F117" s="431"/>
      <c r="G117" s="431"/>
      <c r="H117" s="431"/>
      <c r="I117" s="431"/>
      <c r="J117" s="431"/>
    </row>
    <row r="118" spans="1:10" ht="16.5">
      <c r="A118" s="454"/>
      <c r="B118" s="455"/>
      <c r="C118" s="430"/>
      <c r="D118" s="454"/>
      <c r="E118" s="431"/>
      <c r="F118" s="431"/>
      <c r="G118" s="431"/>
      <c r="H118" s="431"/>
      <c r="I118" s="431"/>
      <c r="J118" s="431"/>
    </row>
    <row r="119" spans="1:10" ht="16.5">
      <c r="A119" s="454"/>
      <c r="B119" s="455"/>
      <c r="C119" s="430"/>
      <c r="D119" s="454"/>
      <c r="E119" s="431"/>
      <c r="F119" s="431"/>
      <c r="G119" s="431"/>
      <c r="H119" s="431"/>
      <c r="I119" s="431"/>
      <c r="J119" s="431"/>
    </row>
    <row r="120" spans="1:10" ht="16.5">
      <c r="A120" s="454"/>
      <c r="B120" s="455"/>
      <c r="C120" s="430"/>
      <c r="D120" s="454"/>
      <c r="E120" s="431"/>
      <c r="F120" s="431"/>
      <c r="G120" s="431"/>
      <c r="H120" s="431"/>
      <c r="I120" s="431"/>
      <c r="J120" s="431"/>
    </row>
    <row r="121" spans="1:10" ht="16.5">
      <c r="A121" s="454"/>
      <c r="B121" s="455"/>
      <c r="C121" s="430"/>
      <c r="D121" s="454"/>
      <c r="E121" s="431"/>
      <c r="F121" s="431"/>
      <c r="G121" s="431"/>
      <c r="H121" s="431"/>
      <c r="I121" s="431"/>
      <c r="J121" s="431"/>
    </row>
    <row r="122" spans="1:10" ht="16.5">
      <c r="A122" s="454"/>
      <c r="B122" s="455"/>
      <c r="C122" s="430"/>
      <c r="D122" s="454"/>
      <c r="E122" s="431"/>
      <c r="F122" s="431"/>
      <c r="G122" s="431"/>
      <c r="H122" s="431"/>
      <c r="I122" s="431"/>
      <c r="J122" s="431"/>
    </row>
    <row r="123" spans="1:10" ht="16.5">
      <c r="A123" s="454"/>
      <c r="B123" s="455"/>
      <c r="C123" s="430"/>
      <c r="D123" s="454"/>
      <c r="E123" s="431"/>
      <c r="F123" s="431"/>
      <c r="G123" s="431"/>
      <c r="H123" s="431"/>
      <c r="I123" s="431"/>
      <c r="J123" s="431"/>
    </row>
    <row r="124" spans="1:10" ht="16.5">
      <c r="A124" s="454"/>
      <c r="B124" s="455"/>
      <c r="C124" s="430"/>
      <c r="D124" s="454"/>
      <c r="E124" s="431"/>
      <c r="F124" s="431"/>
      <c r="G124" s="431"/>
      <c r="H124" s="431"/>
      <c r="I124" s="431"/>
      <c r="J124" s="431"/>
    </row>
    <row r="125" spans="1:10" ht="16.5">
      <c r="A125" s="454"/>
      <c r="B125" s="455"/>
      <c r="C125" s="430"/>
      <c r="D125" s="454"/>
      <c r="E125" s="431"/>
      <c r="F125" s="431"/>
      <c r="G125" s="431"/>
      <c r="H125" s="431"/>
      <c r="I125" s="431"/>
      <c r="J125" s="431"/>
    </row>
    <row r="126" spans="1:10" ht="16.5">
      <c r="A126" s="454"/>
      <c r="B126" s="455"/>
      <c r="C126" s="430"/>
      <c r="D126" s="454"/>
      <c r="E126" s="431"/>
      <c r="F126" s="431"/>
      <c r="G126" s="431"/>
      <c r="H126" s="431"/>
      <c r="I126" s="431"/>
      <c r="J126" s="431"/>
    </row>
    <row r="127" spans="1:10" ht="16.5">
      <c r="A127" s="454"/>
      <c r="B127" s="455"/>
      <c r="C127" s="430"/>
      <c r="D127" s="454"/>
      <c r="E127" s="431"/>
      <c r="F127" s="431"/>
      <c r="G127" s="431"/>
      <c r="H127" s="431"/>
      <c r="I127" s="431"/>
      <c r="J127" s="431"/>
    </row>
    <row r="128" spans="1:10" ht="16.5">
      <c r="A128" s="454"/>
      <c r="B128" s="455"/>
      <c r="C128" s="430"/>
      <c r="D128" s="454"/>
      <c r="E128" s="431"/>
      <c r="F128" s="431"/>
      <c r="G128" s="431"/>
      <c r="H128" s="431"/>
      <c r="I128" s="431"/>
      <c r="J128" s="431"/>
    </row>
    <row r="129" spans="1:10" ht="16.5">
      <c r="A129" s="454"/>
      <c r="B129" s="455"/>
      <c r="C129" s="430"/>
      <c r="D129" s="454"/>
      <c r="E129" s="431"/>
      <c r="F129" s="431"/>
      <c r="G129" s="431"/>
      <c r="H129" s="431"/>
      <c r="I129" s="431"/>
      <c r="J129" s="431"/>
    </row>
    <row r="130" spans="1:10" ht="16.5">
      <c r="A130" s="454"/>
      <c r="B130" s="455"/>
      <c r="C130" s="430"/>
      <c r="D130" s="454"/>
      <c r="E130" s="431"/>
      <c r="F130" s="431"/>
      <c r="G130" s="431"/>
      <c r="H130" s="431"/>
      <c r="I130" s="431"/>
      <c r="J130" s="431"/>
    </row>
    <row r="131" spans="1:10" ht="16.5">
      <c r="A131" s="454"/>
      <c r="B131" s="455"/>
      <c r="C131" s="430"/>
      <c r="D131" s="454"/>
      <c r="E131" s="431"/>
      <c r="F131" s="431"/>
      <c r="G131" s="431"/>
      <c r="H131" s="431"/>
      <c r="I131" s="431"/>
      <c r="J131" s="431"/>
    </row>
    <row r="132" spans="1:10" ht="16.5">
      <c r="A132" s="454"/>
      <c r="B132" s="455"/>
      <c r="C132" s="430"/>
      <c r="D132" s="454"/>
      <c r="E132" s="431"/>
      <c r="F132" s="431"/>
      <c r="G132" s="431"/>
      <c r="H132" s="431"/>
      <c r="I132" s="431"/>
      <c r="J132" s="431"/>
    </row>
    <row r="133" spans="1:10" ht="16.5">
      <c r="A133" s="454"/>
      <c r="B133" s="455"/>
      <c r="C133" s="430"/>
      <c r="D133" s="454"/>
      <c r="E133" s="431"/>
      <c r="F133" s="431"/>
      <c r="G133" s="431"/>
      <c r="H133" s="431"/>
      <c r="I133" s="431"/>
      <c r="J133" s="431"/>
    </row>
    <row r="134" spans="1:10" ht="16.5">
      <c r="A134" s="454"/>
      <c r="B134" s="455"/>
      <c r="C134" s="430"/>
      <c r="D134" s="454"/>
      <c r="E134" s="431"/>
      <c r="F134" s="431"/>
      <c r="G134" s="431"/>
      <c r="H134" s="431"/>
      <c r="I134" s="431"/>
      <c r="J134" s="431"/>
    </row>
    <row r="135" spans="1:10" ht="16.5">
      <c r="A135" s="454"/>
      <c r="B135" s="455"/>
      <c r="C135" s="430"/>
      <c r="D135" s="454"/>
      <c r="E135" s="431"/>
      <c r="F135" s="431"/>
      <c r="G135" s="431"/>
      <c r="H135" s="431"/>
      <c r="I135" s="431"/>
      <c r="J135" s="431"/>
    </row>
    <row r="136" spans="1:10" ht="16.5">
      <c r="A136" s="454"/>
      <c r="B136" s="455"/>
      <c r="C136" s="430"/>
      <c r="D136" s="454"/>
      <c r="E136" s="431"/>
      <c r="F136" s="431"/>
      <c r="G136" s="431"/>
      <c r="H136" s="431"/>
      <c r="I136" s="431"/>
      <c r="J136" s="431"/>
    </row>
    <row r="137" spans="1:10" ht="16.5">
      <c r="A137" s="454"/>
      <c r="B137" s="455"/>
      <c r="C137" s="430"/>
      <c r="D137" s="454"/>
      <c r="E137" s="431"/>
      <c r="F137" s="431"/>
      <c r="G137" s="431"/>
      <c r="H137" s="431"/>
      <c r="I137" s="431"/>
      <c r="J137" s="431"/>
    </row>
    <row r="138" spans="1:10" ht="16.5">
      <c r="A138" s="454"/>
      <c r="B138" s="455"/>
      <c r="C138" s="430"/>
      <c r="D138" s="454"/>
      <c r="E138" s="431"/>
      <c r="F138" s="431"/>
      <c r="G138" s="431"/>
      <c r="H138" s="431"/>
      <c r="I138" s="431"/>
      <c r="J138" s="431"/>
    </row>
    <row r="139" spans="1:10" ht="16.5">
      <c r="A139" s="454"/>
      <c r="B139" s="455"/>
      <c r="C139" s="430"/>
      <c r="D139" s="454"/>
      <c r="E139" s="431"/>
      <c r="F139" s="431"/>
      <c r="G139" s="431"/>
      <c r="H139" s="431"/>
      <c r="I139" s="431"/>
      <c r="J139" s="431"/>
    </row>
    <row r="140" spans="1:10" ht="16.5">
      <c r="A140" s="454"/>
      <c r="B140" s="455"/>
      <c r="C140" s="430"/>
      <c r="D140" s="454"/>
      <c r="E140" s="431"/>
      <c r="F140" s="431"/>
      <c r="G140" s="431"/>
      <c r="H140" s="431"/>
      <c r="I140" s="431"/>
      <c r="J140" s="431"/>
    </row>
    <row r="141" spans="1:10" ht="16.5">
      <c r="A141" s="454"/>
      <c r="B141" s="455"/>
      <c r="C141" s="430"/>
      <c r="D141" s="454"/>
      <c r="E141" s="431"/>
      <c r="F141" s="431"/>
      <c r="G141" s="431"/>
      <c r="H141" s="431"/>
      <c r="I141" s="431"/>
      <c r="J141" s="431"/>
    </row>
    <row r="142" spans="1:10" ht="16.5">
      <c r="A142" s="454"/>
      <c r="B142" s="455"/>
      <c r="C142" s="430"/>
      <c r="D142" s="454"/>
      <c r="E142" s="431"/>
      <c r="F142" s="431"/>
      <c r="G142" s="431"/>
      <c r="H142" s="431"/>
      <c r="I142" s="431"/>
      <c r="J142" s="431"/>
    </row>
    <row r="143" spans="1:10" ht="16.5">
      <c r="A143" s="454"/>
      <c r="B143" s="455"/>
      <c r="C143" s="430"/>
      <c r="D143" s="454"/>
      <c r="E143" s="431"/>
      <c r="F143" s="431"/>
      <c r="G143" s="431"/>
      <c r="H143" s="431"/>
      <c r="I143" s="431"/>
      <c r="J143" s="431"/>
    </row>
    <row r="144" spans="1:10" ht="16.5">
      <c r="A144" s="454"/>
      <c r="B144" s="455"/>
      <c r="C144" s="430"/>
      <c r="D144" s="454"/>
      <c r="E144" s="431"/>
      <c r="F144" s="431"/>
      <c r="G144" s="431"/>
      <c r="H144" s="431"/>
      <c r="I144" s="431"/>
      <c r="J144" s="431"/>
    </row>
    <row r="145" spans="1:10" ht="16.5">
      <c r="A145" s="454"/>
      <c r="B145" s="455"/>
      <c r="C145" s="430"/>
      <c r="D145" s="454"/>
      <c r="E145" s="431"/>
      <c r="F145" s="431"/>
      <c r="G145" s="431"/>
      <c r="H145" s="431"/>
      <c r="I145" s="431"/>
      <c r="J145" s="431"/>
    </row>
    <row r="146" spans="1:10" ht="16.5">
      <c r="A146" s="454"/>
      <c r="B146" s="455"/>
      <c r="C146" s="430"/>
      <c r="D146" s="454"/>
      <c r="E146" s="431"/>
      <c r="F146" s="431"/>
      <c r="G146" s="431"/>
      <c r="H146" s="431"/>
      <c r="I146" s="431"/>
      <c r="J146" s="431"/>
    </row>
    <row r="147" spans="1:10" ht="16.5">
      <c r="A147" s="454"/>
      <c r="B147" s="455"/>
      <c r="C147" s="430"/>
      <c r="D147" s="454"/>
      <c r="E147" s="431"/>
      <c r="F147" s="431"/>
      <c r="G147" s="431"/>
      <c r="H147" s="431"/>
      <c r="I147" s="431"/>
      <c r="J147" s="431"/>
    </row>
    <row r="148" spans="1:10" ht="16.5">
      <c r="A148" s="454"/>
      <c r="B148" s="455"/>
      <c r="C148" s="430"/>
      <c r="D148" s="454"/>
      <c r="E148" s="431"/>
      <c r="F148" s="431"/>
      <c r="G148" s="431"/>
      <c r="H148" s="431"/>
      <c r="I148" s="431"/>
      <c r="J148" s="431"/>
    </row>
    <row r="149" spans="1:10" ht="16.5">
      <c r="A149" s="454"/>
      <c r="B149" s="455"/>
      <c r="C149" s="430"/>
      <c r="D149" s="454"/>
      <c r="E149" s="431"/>
      <c r="F149" s="431"/>
      <c r="G149" s="431"/>
      <c r="H149" s="431"/>
      <c r="I149" s="431"/>
      <c r="J149" s="431"/>
    </row>
    <row r="150" spans="1:10" ht="16.5">
      <c r="A150" s="454"/>
      <c r="B150" s="455"/>
      <c r="C150" s="430"/>
      <c r="D150" s="454"/>
      <c r="E150" s="431"/>
      <c r="F150" s="431"/>
      <c r="G150" s="431"/>
      <c r="H150" s="431"/>
      <c r="I150" s="431"/>
      <c r="J150" s="431"/>
    </row>
    <row r="151" spans="1:10" ht="16.5">
      <c r="A151" s="454"/>
      <c r="B151" s="455"/>
      <c r="C151" s="430"/>
      <c r="D151" s="454"/>
      <c r="E151" s="431"/>
      <c r="F151" s="431"/>
      <c r="G151" s="431"/>
      <c r="H151" s="431"/>
      <c r="I151" s="431"/>
      <c r="J151" s="431"/>
    </row>
    <row r="152" spans="1:10" ht="16.5">
      <c r="A152" s="454"/>
      <c r="B152" s="455"/>
      <c r="C152" s="430"/>
      <c r="D152" s="454"/>
      <c r="E152" s="431"/>
      <c r="F152" s="431"/>
      <c r="G152" s="431"/>
      <c r="H152" s="431"/>
      <c r="I152" s="431"/>
      <c r="J152" s="431"/>
    </row>
    <row r="153" spans="1:10" ht="16.5">
      <c r="A153" s="454"/>
      <c r="B153" s="455"/>
      <c r="C153" s="430"/>
      <c r="D153" s="454"/>
      <c r="E153" s="431"/>
      <c r="F153" s="431"/>
      <c r="G153" s="431"/>
      <c r="H153" s="431"/>
      <c r="I153" s="431"/>
      <c r="J153" s="431"/>
    </row>
    <row r="154" spans="1:10" ht="16.5">
      <c r="A154" s="454"/>
      <c r="B154" s="455"/>
      <c r="C154" s="430"/>
      <c r="D154" s="454"/>
      <c r="E154" s="431"/>
      <c r="F154" s="431"/>
      <c r="G154" s="431"/>
      <c r="H154" s="431"/>
      <c r="I154" s="431"/>
      <c r="J154" s="431"/>
    </row>
    <row r="155" spans="1:10" ht="16.5">
      <c r="A155" s="454"/>
      <c r="B155" s="455"/>
      <c r="C155" s="430"/>
      <c r="D155" s="454"/>
      <c r="E155" s="431"/>
      <c r="F155" s="431"/>
      <c r="G155" s="431"/>
      <c r="H155" s="431"/>
      <c r="I155" s="431"/>
      <c r="J155" s="431"/>
    </row>
    <row r="156" spans="1:10" ht="16.5">
      <c r="A156" s="454"/>
      <c r="B156" s="455"/>
      <c r="C156" s="430"/>
      <c r="D156" s="454"/>
      <c r="E156" s="431"/>
      <c r="F156" s="431"/>
      <c r="G156" s="431"/>
      <c r="H156" s="431"/>
      <c r="I156" s="431"/>
      <c r="J156" s="431"/>
    </row>
    <row r="157" spans="1:10" ht="16.5">
      <c r="A157" s="454"/>
      <c r="B157" s="455"/>
      <c r="C157" s="430"/>
      <c r="D157" s="454"/>
      <c r="E157" s="431"/>
      <c r="F157" s="431"/>
      <c r="G157" s="431"/>
      <c r="H157" s="431"/>
      <c r="I157" s="431"/>
      <c r="J157" s="431"/>
    </row>
    <row r="158" spans="1:10" ht="16.5">
      <c r="A158" s="454"/>
      <c r="B158" s="455"/>
      <c r="C158" s="430"/>
      <c r="D158" s="454"/>
      <c r="E158" s="431"/>
      <c r="F158" s="431"/>
      <c r="G158" s="431"/>
      <c r="H158" s="431"/>
      <c r="I158" s="431"/>
      <c r="J158" s="431"/>
    </row>
    <row r="159" spans="1:10" ht="16.5">
      <c r="A159" s="454"/>
      <c r="B159" s="455"/>
      <c r="C159" s="430"/>
      <c r="D159" s="454"/>
      <c r="E159" s="431"/>
      <c r="F159" s="431"/>
      <c r="G159" s="431"/>
      <c r="H159" s="431"/>
      <c r="I159" s="431"/>
      <c r="J159" s="431"/>
    </row>
    <row r="160" spans="1:10" ht="16.5">
      <c r="A160" s="454"/>
      <c r="B160" s="455"/>
      <c r="C160" s="430"/>
      <c r="D160" s="454"/>
      <c r="E160" s="431"/>
      <c r="F160" s="431"/>
      <c r="G160" s="431"/>
      <c r="H160" s="431"/>
      <c r="I160" s="431"/>
      <c r="J160" s="431"/>
    </row>
    <row r="161" spans="1:10" ht="16.5">
      <c r="A161" s="454"/>
      <c r="B161" s="455"/>
      <c r="C161" s="430"/>
      <c r="D161" s="454"/>
      <c r="E161" s="431"/>
      <c r="F161" s="431"/>
      <c r="G161" s="431"/>
      <c r="H161" s="431"/>
      <c r="I161" s="431"/>
      <c r="J161" s="431"/>
    </row>
    <row r="162" spans="1:10" ht="16.5">
      <c r="A162" s="454"/>
      <c r="B162" s="455"/>
      <c r="C162" s="430"/>
      <c r="D162" s="454"/>
      <c r="E162" s="431"/>
      <c r="F162" s="431"/>
      <c r="G162" s="431"/>
      <c r="H162" s="431"/>
      <c r="I162" s="431"/>
      <c r="J162" s="431"/>
    </row>
    <row r="163" spans="1:10" ht="16.5">
      <c r="A163" s="454"/>
      <c r="B163" s="455"/>
      <c r="C163" s="430"/>
      <c r="D163" s="454"/>
      <c r="E163" s="431"/>
      <c r="F163" s="431"/>
      <c r="G163" s="431"/>
      <c r="H163" s="431"/>
      <c r="I163" s="431"/>
      <c r="J163" s="431"/>
    </row>
    <row r="164" spans="1:10" ht="16.5">
      <c r="A164" s="454"/>
      <c r="B164" s="455"/>
      <c r="C164" s="430"/>
      <c r="D164" s="454"/>
      <c r="E164" s="431"/>
      <c r="F164" s="431"/>
      <c r="G164" s="431"/>
      <c r="H164" s="431"/>
      <c r="I164" s="431"/>
      <c r="J164" s="431"/>
    </row>
    <row r="165" spans="1:10" ht="16.5">
      <c r="A165" s="454"/>
      <c r="B165" s="455"/>
      <c r="C165" s="430"/>
      <c r="D165" s="454"/>
      <c r="E165" s="431"/>
      <c r="F165" s="431"/>
      <c r="G165" s="431"/>
      <c r="H165" s="431"/>
      <c r="I165" s="431"/>
      <c r="J165" s="431"/>
    </row>
    <row r="166" spans="1:10" ht="16.5">
      <c r="A166" s="454"/>
      <c r="B166" s="455"/>
      <c r="C166" s="430"/>
      <c r="D166" s="454"/>
      <c r="E166" s="431"/>
      <c r="F166" s="431"/>
      <c r="G166" s="431"/>
      <c r="H166" s="431"/>
      <c r="I166" s="431"/>
      <c r="J166" s="431"/>
    </row>
    <row r="167" spans="1:10" ht="16.5">
      <c r="A167" s="454"/>
      <c r="B167" s="455"/>
      <c r="C167" s="430"/>
      <c r="D167" s="454"/>
      <c r="E167" s="431"/>
      <c r="F167" s="431"/>
      <c r="G167" s="431"/>
      <c r="H167" s="431"/>
      <c r="I167" s="431"/>
      <c r="J167" s="431"/>
    </row>
    <row r="168" spans="1:10" ht="16.5">
      <c r="A168" s="454"/>
      <c r="B168" s="455"/>
      <c r="C168" s="430"/>
      <c r="D168" s="454"/>
      <c r="E168" s="431"/>
      <c r="F168" s="431"/>
      <c r="G168" s="431"/>
      <c r="H168" s="431"/>
      <c r="I168" s="431"/>
      <c r="J168" s="431"/>
    </row>
    <row r="169" spans="1:10" ht="16.5">
      <c r="A169" s="454"/>
      <c r="B169" s="455"/>
      <c r="C169" s="430"/>
      <c r="D169" s="454"/>
      <c r="E169" s="431"/>
      <c r="F169" s="431"/>
      <c r="G169" s="431"/>
      <c r="H169" s="431"/>
      <c r="I169" s="431"/>
      <c r="J169" s="431"/>
    </row>
    <row r="170" spans="1:10" ht="16.5">
      <c r="A170" s="454"/>
      <c r="B170" s="455"/>
      <c r="C170" s="430"/>
      <c r="D170" s="454"/>
      <c r="E170" s="431"/>
      <c r="F170" s="431"/>
      <c r="G170" s="431"/>
      <c r="H170" s="431"/>
      <c r="I170" s="431"/>
      <c r="J170" s="431"/>
    </row>
    <row r="171" spans="1:10" ht="16.5">
      <c r="A171" s="454"/>
      <c r="B171" s="455"/>
      <c r="C171" s="430"/>
      <c r="D171" s="454"/>
      <c r="E171" s="431"/>
      <c r="F171" s="431"/>
      <c r="G171" s="431"/>
      <c r="H171" s="431"/>
      <c r="I171" s="431"/>
      <c r="J171" s="431"/>
    </row>
    <row r="172" spans="1:10" ht="16.5">
      <c r="A172" s="454"/>
      <c r="B172" s="455"/>
      <c r="C172" s="430"/>
      <c r="D172" s="454"/>
      <c r="E172" s="431"/>
      <c r="F172" s="431"/>
      <c r="G172" s="431"/>
      <c r="H172" s="431"/>
      <c r="I172" s="431"/>
      <c r="J172" s="431"/>
    </row>
    <row r="173" spans="1:10" ht="16.5">
      <c r="A173" s="454"/>
      <c r="B173" s="455"/>
      <c r="C173" s="430"/>
      <c r="D173" s="454"/>
      <c r="E173" s="431"/>
      <c r="F173" s="431"/>
      <c r="G173" s="431"/>
      <c r="H173" s="431"/>
      <c r="I173" s="431"/>
      <c r="J173" s="431"/>
    </row>
    <row r="174" spans="1:10" ht="16.5">
      <c r="A174" s="454"/>
      <c r="B174" s="455"/>
      <c r="C174" s="430"/>
      <c r="D174" s="454"/>
      <c r="E174" s="431"/>
      <c r="F174" s="431"/>
      <c r="G174" s="431"/>
      <c r="H174" s="431"/>
      <c r="I174" s="431"/>
      <c r="J174" s="431"/>
    </row>
    <row r="175" spans="1:10" ht="16.5">
      <c r="A175" s="454"/>
      <c r="B175" s="455"/>
      <c r="C175" s="430"/>
      <c r="D175" s="454"/>
      <c r="E175" s="431"/>
      <c r="F175" s="431"/>
      <c r="G175" s="431"/>
      <c r="H175" s="431"/>
      <c r="I175" s="431"/>
      <c r="J175" s="431"/>
    </row>
    <row r="176" spans="1:10" ht="16.5">
      <c r="A176" s="454"/>
      <c r="B176" s="455"/>
      <c r="C176" s="430"/>
      <c r="D176" s="454"/>
      <c r="E176" s="431"/>
      <c r="F176" s="431"/>
      <c r="G176" s="431"/>
      <c r="H176" s="431"/>
      <c r="I176" s="431"/>
      <c r="J176" s="431"/>
    </row>
    <row r="177" spans="1:10" ht="16.5">
      <c r="A177" s="454"/>
      <c r="B177" s="455"/>
      <c r="C177" s="430"/>
      <c r="D177" s="454"/>
      <c r="E177" s="431"/>
      <c r="F177" s="431"/>
      <c r="G177" s="431"/>
      <c r="H177" s="431"/>
      <c r="I177" s="431"/>
      <c r="J177" s="431"/>
    </row>
    <row r="178" spans="1:10" ht="16.5">
      <c r="A178" s="454"/>
      <c r="B178" s="455"/>
      <c r="C178" s="430"/>
      <c r="D178" s="454"/>
      <c r="E178" s="431"/>
      <c r="F178" s="431"/>
      <c r="G178" s="431"/>
      <c r="H178" s="431"/>
      <c r="I178" s="431"/>
      <c r="J178" s="431"/>
    </row>
    <row r="179" spans="1:10" ht="16.5">
      <c r="A179" s="454"/>
      <c r="B179" s="455"/>
      <c r="C179" s="430"/>
      <c r="D179" s="454"/>
      <c r="E179" s="431"/>
      <c r="F179" s="431"/>
      <c r="G179" s="431"/>
      <c r="H179" s="431"/>
      <c r="I179" s="431"/>
      <c r="J179" s="431"/>
    </row>
    <row r="180" spans="1:10" ht="16.5">
      <c r="A180" s="454"/>
      <c r="B180" s="455"/>
      <c r="C180" s="430"/>
      <c r="D180" s="454"/>
      <c r="E180" s="431"/>
      <c r="F180" s="431"/>
      <c r="G180" s="431"/>
      <c r="H180" s="431"/>
      <c r="I180" s="431"/>
      <c r="J180" s="431"/>
    </row>
    <row r="181" spans="1:10" ht="16.5">
      <c r="A181" s="454"/>
      <c r="B181" s="455"/>
      <c r="C181" s="430"/>
      <c r="D181" s="454"/>
      <c r="E181" s="431"/>
      <c r="F181" s="431"/>
      <c r="G181" s="431"/>
      <c r="H181" s="431"/>
      <c r="I181" s="431"/>
      <c r="J181" s="431"/>
    </row>
    <row r="182" spans="1:10" ht="16.5">
      <c r="A182" s="454"/>
      <c r="B182" s="455"/>
      <c r="C182" s="430"/>
      <c r="D182" s="454"/>
      <c r="E182" s="431"/>
      <c r="F182" s="431"/>
      <c r="G182" s="431"/>
      <c r="H182" s="431"/>
      <c r="I182" s="431"/>
      <c r="J182" s="431"/>
    </row>
    <row r="183" spans="1:10" ht="16.5">
      <c r="A183" s="454"/>
      <c r="B183" s="455"/>
      <c r="C183" s="430"/>
      <c r="D183" s="454"/>
      <c r="E183" s="431"/>
      <c r="F183" s="431"/>
      <c r="G183" s="431"/>
      <c r="H183" s="431"/>
      <c r="I183" s="431"/>
      <c r="J183" s="431"/>
    </row>
    <row r="184" spans="1:10" ht="16.5">
      <c r="A184" s="454"/>
      <c r="B184" s="455"/>
      <c r="C184" s="430"/>
      <c r="D184" s="454"/>
      <c r="E184" s="431"/>
      <c r="F184" s="431"/>
      <c r="G184" s="431"/>
      <c r="H184" s="431"/>
      <c r="I184" s="431"/>
      <c r="J184" s="431"/>
    </row>
    <row r="185" spans="1:10" ht="16.5">
      <c r="A185" s="454"/>
      <c r="B185" s="455"/>
      <c r="C185" s="430"/>
      <c r="D185" s="454"/>
      <c r="E185" s="431"/>
      <c r="F185" s="431"/>
      <c r="G185" s="431"/>
      <c r="H185" s="431"/>
      <c r="I185" s="431"/>
      <c r="J185" s="431"/>
    </row>
    <row r="186" spans="1:10" ht="16.5">
      <c r="A186" s="454"/>
      <c r="B186" s="455"/>
      <c r="C186" s="430"/>
      <c r="D186" s="454"/>
      <c r="E186" s="431"/>
      <c r="F186" s="431"/>
      <c r="G186" s="431"/>
      <c r="H186" s="431"/>
      <c r="I186" s="431"/>
      <c r="J186" s="431"/>
    </row>
    <row r="187" spans="1:10" ht="16.5">
      <c r="A187" s="454"/>
      <c r="B187" s="455"/>
      <c r="C187" s="430"/>
      <c r="D187" s="454"/>
      <c r="E187" s="431"/>
      <c r="F187" s="431"/>
      <c r="G187" s="431"/>
      <c r="H187" s="431"/>
      <c r="I187" s="431"/>
      <c r="J187" s="431"/>
    </row>
    <row r="188" spans="1:10" ht="16.5">
      <c r="A188" s="454"/>
      <c r="B188" s="455"/>
      <c r="C188" s="430"/>
      <c r="D188" s="454"/>
      <c r="E188" s="431"/>
      <c r="F188" s="431"/>
      <c r="G188" s="431"/>
      <c r="H188" s="431"/>
      <c r="I188" s="431"/>
      <c r="J188" s="431"/>
    </row>
    <row r="189" spans="1:10" ht="16.5">
      <c r="A189" s="454"/>
      <c r="B189" s="455"/>
      <c r="C189" s="430"/>
      <c r="D189" s="454"/>
      <c r="E189" s="431"/>
      <c r="F189" s="431"/>
      <c r="G189" s="431"/>
      <c r="H189" s="431"/>
      <c r="I189" s="431"/>
      <c r="J189" s="431"/>
    </row>
    <row r="190" spans="1:10" ht="16.5">
      <c r="A190" s="454"/>
      <c r="B190" s="455"/>
      <c r="C190" s="430"/>
      <c r="D190" s="454"/>
      <c r="E190" s="431"/>
      <c r="F190" s="431"/>
      <c r="G190" s="431"/>
      <c r="H190" s="431"/>
      <c r="I190" s="431"/>
      <c r="J190" s="431"/>
    </row>
    <row r="191" spans="1:10" ht="16.5">
      <c r="A191" s="454"/>
      <c r="B191" s="455"/>
      <c r="C191" s="430"/>
      <c r="D191" s="454"/>
      <c r="E191" s="431"/>
      <c r="F191" s="431"/>
      <c r="G191" s="431"/>
      <c r="H191" s="431"/>
      <c r="I191" s="431"/>
      <c r="J191" s="431"/>
    </row>
    <row r="192" spans="1:10" ht="16.5">
      <c r="A192" s="454"/>
      <c r="B192" s="455"/>
      <c r="C192" s="430"/>
      <c r="D192" s="454"/>
      <c r="E192" s="431"/>
      <c r="F192" s="431"/>
      <c r="G192" s="431"/>
      <c r="H192" s="431"/>
      <c r="I192" s="431"/>
      <c r="J192" s="431"/>
    </row>
    <row r="193" spans="1:10" ht="16.5">
      <c r="A193" s="454"/>
      <c r="B193" s="455"/>
      <c r="C193" s="430"/>
      <c r="D193" s="454"/>
      <c r="E193" s="431"/>
      <c r="F193" s="431"/>
      <c r="G193" s="431"/>
      <c r="H193" s="431"/>
      <c r="I193" s="431"/>
      <c r="J193" s="431"/>
    </row>
    <row r="194" spans="1:10" ht="16.5">
      <c r="A194" s="454"/>
      <c r="B194" s="455"/>
      <c r="C194" s="430"/>
      <c r="D194" s="454"/>
      <c r="E194" s="431"/>
      <c r="F194" s="431"/>
      <c r="G194" s="431"/>
      <c r="H194" s="431"/>
      <c r="I194" s="431"/>
      <c r="J194" s="431"/>
    </row>
    <row r="195" spans="1:10" ht="16.5">
      <c r="A195" s="454"/>
      <c r="B195" s="455"/>
      <c r="C195" s="430"/>
      <c r="D195" s="454"/>
      <c r="E195" s="431"/>
      <c r="F195" s="431"/>
      <c r="G195" s="431"/>
      <c r="H195" s="431"/>
      <c r="I195" s="431"/>
      <c r="J195" s="431"/>
    </row>
    <row r="196" spans="1:10" ht="16.5">
      <c r="A196" s="454"/>
      <c r="B196" s="455"/>
      <c r="C196" s="430"/>
      <c r="D196" s="454"/>
      <c r="E196" s="431"/>
      <c r="F196" s="431"/>
      <c r="G196" s="431"/>
      <c r="H196" s="431"/>
      <c r="I196" s="431"/>
      <c r="J196" s="431"/>
    </row>
    <row r="197" spans="1:10" ht="16.5">
      <c r="A197" s="454"/>
      <c r="B197" s="455"/>
      <c r="C197" s="430"/>
      <c r="D197" s="454"/>
      <c r="E197" s="431"/>
      <c r="F197" s="431"/>
      <c r="G197" s="431"/>
      <c r="H197" s="431"/>
      <c r="I197" s="431"/>
      <c r="J197" s="431"/>
    </row>
    <row r="198" spans="1:10" ht="16.5">
      <c r="A198" s="454"/>
      <c r="B198" s="455"/>
      <c r="C198" s="430"/>
      <c r="D198" s="454"/>
      <c r="E198" s="431"/>
      <c r="F198" s="431"/>
      <c r="G198" s="431"/>
      <c r="H198" s="431"/>
      <c r="I198" s="431"/>
      <c r="J198" s="431"/>
    </row>
    <row r="199" spans="1:10" ht="16.5">
      <c r="A199" s="454"/>
      <c r="B199" s="455"/>
      <c r="C199" s="430"/>
      <c r="D199" s="454"/>
      <c r="E199" s="431"/>
      <c r="F199" s="431"/>
      <c r="G199" s="431"/>
      <c r="H199" s="431"/>
      <c r="I199" s="431"/>
      <c r="J199" s="431"/>
    </row>
    <row r="200" spans="1:10" ht="16.5">
      <c r="A200" s="454"/>
      <c r="B200" s="455"/>
      <c r="C200" s="430"/>
      <c r="D200" s="454"/>
      <c r="E200" s="431"/>
      <c r="F200" s="431"/>
      <c r="G200" s="431"/>
      <c r="H200" s="431"/>
      <c r="I200" s="431"/>
      <c r="J200" s="431"/>
    </row>
    <row r="201" spans="1:10" ht="16.5">
      <c r="A201" s="454"/>
      <c r="B201" s="455"/>
      <c r="C201" s="430"/>
      <c r="D201" s="454"/>
      <c r="E201" s="431"/>
      <c r="F201" s="431"/>
      <c r="G201" s="431"/>
      <c r="H201" s="431"/>
      <c r="I201" s="431"/>
      <c r="J201" s="431"/>
    </row>
    <row r="202" spans="1:10" ht="16.5">
      <c r="A202" s="454"/>
      <c r="B202" s="455"/>
      <c r="C202" s="430"/>
      <c r="D202" s="454"/>
      <c r="E202" s="431"/>
      <c r="F202" s="431"/>
      <c r="G202" s="431"/>
      <c r="H202" s="431"/>
      <c r="I202" s="431"/>
      <c r="J202" s="431"/>
    </row>
    <row r="203" spans="1:10" ht="16.5">
      <c r="A203" s="454"/>
      <c r="B203" s="455"/>
      <c r="C203" s="430"/>
      <c r="D203" s="454"/>
      <c r="E203" s="431"/>
      <c r="F203" s="431"/>
      <c r="G203" s="431"/>
      <c r="H203" s="431"/>
      <c r="I203" s="431"/>
      <c r="J203" s="431"/>
    </row>
    <row r="204" spans="1:10" ht="16.5">
      <c r="A204" s="454"/>
      <c r="B204" s="455"/>
      <c r="C204" s="430"/>
      <c r="D204" s="454"/>
      <c r="E204" s="431"/>
      <c r="F204" s="431"/>
      <c r="G204" s="431"/>
      <c r="H204" s="431"/>
      <c r="I204" s="431"/>
      <c r="J204" s="431"/>
    </row>
    <row r="205" spans="1:10" ht="16.5">
      <c r="A205" s="454"/>
      <c r="B205" s="455"/>
      <c r="C205" s="430"/>
      <c r="D205" s="454"/>
      <c r="E205" s="431"/>
      <c r="F205" s="431"/>
      <c r="G205" s="431"/>
      <c r="H205" s="431"/>
      <c r="I205" s="431"/>
      <c r="J205" s="431"/>
    </row>
    <row r="206" spans="1:10" ht="16.5">
      <c r="A206" s="454"/>
      <c r="B206" s="455"/>
      <c r="C206" s="430"/>
      <c r="D206" s="454"/>
      <c r="E206" s="431"/>
      <c r="F206" s="431"/>
      <c r="G206" s="431"/>
      <c r="H206" s="431"/>
      <c r="I206" s="431"/>
      <c r="J206" s="431"/>
    </row>
    <row r="207" spans="1:10" ht="16.5">
      <c r="A207" s="454"/>
      <c r="B207" s="455"/>
      <c r="C207" s="430"/>
      <c r="D207" s="454"/>
      <c r="E207" s="431"/>
      <c r="F207" s="431"/>
      <c r="G207" s="431"/>
      <c r="H207" s="431"/>
      <c r="I207" s="431"/>
      <c r="J207" s="431"/>
    </row>
    <row r="208" spans="1:10" ht="16.5">
      <c r="A208" s="454"/>
      <c r="B208" s="455"/>
      <c r="C208" s="430"/>
      <c r="D208" s="454"/>
      <c r="E208" s="431"/>
      <c r="F208" s="431"/>
      <c r="G208" s="431"/>
      <c r="H208" s="431"/>
      <c r="I208" s="431"/>
      <c r="J208" s="431"/>
    </row>
    <row r="209" spans="1:10" ht="16.5">
      <c r="A209" s="454"/>
      <c r="B209" s="455"/>
      <c r="C209" s="430"/>
      <c r="D209" s="454"/>
      <c r="E209" s="431"/>
      <c r="F209" s="431"/>
      <c r="G209" s="431"/>
      <c r="H209" s="431"/>
      <c r="I209" s="431"/>
      <c r="J209" s="431"/>
    </row>
    <row r="210" spans="1:10" ht="16.5">
      <c r="A210" s="454"/>
      <c r="B210" s="455"/>
      <c r="C210" s="430"/>
      <c r="D210" s="454"/>
      <c r="E210" s="431"/>
      <c r="F210" s="431"/>
      <c r="G210" s="431"/>
      <c r="H210" s="431"/>
      <c r="I210" s="431"/>
      <c r="J210" s="431"/>
    </row>
    <row r="211" spans="1:10" ht="16.5">
      <c r="A211" s="454"/>
      <c r="B211" s="455"/>
      <c r="C211" s="430"/>
      <c r="D211" s="454"/>
      <c r="E211" s="431"/>
      <c r="F211" s="431"/>
      <c r="G211" s="431"/>
      <c r="H211" s="431"/>
      <c r="I211" s="431"/>
      <c r="J211" s="431"/>
    </row>
    <row r="212" spans="1:10" ht="16.5">
      <c r="A212" s="454"/>
      <c r="B212" s="455"/>
      <c r="C212" s="430"/>
      <c r="D212" s="454"/>
      <c r="E212" s="431"/>
      <c r="F212" s="431"/>
      <c r="G212" s="431"/>
      <c r="H212" s="431"/>
      <c r="I212" s="431"/>
      <c r="J212" s="431"/>
    </row>
    <row r="213" spans="1:10" ht="16.5">
      <c r="A213" s="454"/>
      <c r="B213" s="455"/>
      <c r="C213" s="430"/>
      <c r="D213" s="454"/>
      <c r="E213" s="431"/>
      <c r="F213" s="431"/>
      <c r="G213" s="431"/>
      <c r="H213" s="431"/>
      <c r="I213" s="431"/>
      <c r="J213" s="431"/>
    </row>
    <row r="214" spans="1:10" ht="16.5">
      <c r="A214" s="454"/>
      <c r="B214" s="455"/>
      <c r="C214" s="430"/>
      <c r="D214" s="454"/>
      <c r="E214" s="431"/>
      <c r="F214" s="431"/>
      <c r="G214" s="431"/>
      <c r="H214" s="431"/>
      <c r="I214" s="431"/>
      <c r="J214" s="431"/>
    </row>
    <row r="215" spans="1:10" ht="16.5">
      <c r="A215" s="454"/>
      <c r="B215" s="455"/>
      <c r="C215" s="430"/>
      <c r="D215" s="454"/>
      <c r="E215" s="431"/>
      <c r="F215" s="431"/>
      <c r="G215" s="431"/>
      <c r="H215" s="431"/>
      <c r="I215" s="431"/>
      <c r="J215" s="431"/>
    </row>
    <row r="216" spans="1:10" ht="16.5">
      <c r="A216" s="454"/>
      <c r="B216" s="455"/>
      <c r="C216" s="430"/>
      <c r="D216" s="454"/>
      <c r="E216" s="431"/>
      <c r="F216" s="431"/>
      <c r="G216" s="431"/>
      <c r="H216" s="431"/>
      <c r="I216" s="431"/>
      <c r="J216" s="431"/>
    </row>
    <row r="217" spans="1:10" ht="16.5">
      <c r="A217" s="454"/>
      <c r="B217" s="455"/>
      <c r="C217" s="430"/>
      <c r="D217" s="454"/>
      <c r="E217" s="431"/>
      <c r="F217" s="431"/>
      <c r="G217" s="431"/>
      <c r="H217" s="431"/>
      <c r="I217" s="431"/>
      <c r="J217" s="431"/>
    </row>
    <row r="218" spans="1:10" ht="16.5">
      <c r="A218" s="454"/>
      <c r="B218" s="455"/>
      <c r="C218" s="430"/>
      <c r="D218" s="454"/>
      <c r="E218" s="431"/>
      <c r="F218" s="431"/>
      <c r="G218" s="431"/>
      <c r="H218" s="431"/>
      <c r="I218" s="431"/>
      <c r="J218" s="431"/>
    </row>
    <row r="219" spans="1:10" ht="16.5">
      <c r="A219" s="454"/>
      <c r="B219" s="455"/>
      <c r="C219" s="430"/>
      <c r="D219" s="454"/>
      <c r="E219" s="431"/>
      <c r="F219" s="431"/>
      <c r="G219" s="431"/>
      <c r="H219" s="431"/>
      <c r="I219" s="431"/>
      <c r="J219" s="431"/>
    </row>
    <row r="220" spans="1:10" ht="16.5">
      <c r="A220" s="454"/>
      <c r="B220" s="455"/>
      <c r="C220" s="430"/>
      <c r="D220" s="454"/>
      <c r="E220" s="431"/>
      <c r="F220" s="431"/>
      <c r="G220" s="431"/>
      <c r="H220" s="431"/>
      <c r="I220" s="431"/>
      <c r="J220" s="431"/>
    </row>
    <row r="221" spans="1:10" ht="16.5">
      <c r="A221" s="454"/>
      <c r="B221" s="455"/>
      <c r="C221" s="430"/>
      <c r="D221" s="454"/>
      <c r="E221" s="431"/>
      <c r="F221" s="431"/>
      <c r="G221" s="431"/>
      <c r="H221" s="431"/>
      <c r="I221" s="431"/>
      <c r="J221" s="431"/>
    </row>
    <row r="222" spans="1:10" ht="16.5">
      <c r="A222" s="454"/>
      <c r="B222" s="455"/>
      <c r="C222" s="430"/>
      <c r="D222" s="454"/>
      <c r="E222" s="431"/>
      <c r="F222" s="431"/>
      <c r="G222" s="431"/>
      <c r="H222" s="431"/>
      <c r="I222" s="431"/>
      <c r="J222" s="431"/>
    </row>
    <row r="223" spans="1:10" ht="16.5">
      <c r="A223" s="454"/>
      <c r="B223" s="455"/>
      <c r="C223" s="430"/>
      <c r="D223" s="454"/>
      <c r="E223" s="431"/>
      <c r="F223" s="431"/>
      <c r="G223" s="431"/>
      <c r="H223" s="431"/>
      <c r="I223" s="431"/>
      <c r="J223" s="431"/>
    </row>
    <row r="224" spans="1:10" ht="16.5">
      <c r="A224" s="454"/>
      <c r="B224" s="455"/>
      <c r="C224" s="430"/>
      <c r="D224" s="454"/>
      <c r="E224" s="431"/>
      <c r="F224" s="431"/>
      <c r="G224" s="431"/>
      <c r="H224" s="431"/>
      <c r="I224" s="431"/>
      <c r="J224" s="431"/>
    </row>
    <row r="225" spans="1:10" ht="16.5">
      <c r="A225" s="454"/>
      <c r="B225" s="455"/>
      <c r="C225" s="430"/>
      <c r="D225" s="454"/>
      <c r="E225" s="431"/>
      <c r="F225" s="431"/>
      <c r="G225" s="431"/>
      <c r="H225" s="431"/>
      <c r="I225" s="431"/>
      <c r="J225" s="431"/>
    </row>
    <row r="226" spans="1:10" ht="16.5">
      <c r="A226" s="454"/>
      <c r="B226" s="455"/>
      <c r="C226" s="430"/>
      <c r="D226" s="454"/>
      <c r="E226" s="431"/>
      <c r="F226" s="431"/>
      <c r="G226" s="431"/>
      <c r="H226" s="431"/>
      <c r="I226" s="431"/>
      <c r="J226" s="431"/>
    </row>
    <row r="227" spans="1:10" ht="16.5">
      <c r="A227" s="454"/>
      <c r="B227" s="455"/>
      <c r="C227" s="430"/>
      <c r="D227" s="454"/>
      <c r="E227" s="431"/>
      <c r="F227" s="431"/>
      <c r="G227" s="431"/>
      <c r="H227" s="431"/>
      <c r="I227" s="431"/>
      <c r="J227" s="431"/>
    </row>
    <row r="228" spans="1:10" ht="16.5">
      <c r="A228" s="454"/>
      <c r="B228" s="455"/>
      <c r="C228" s="430"/>
      <c r="D228" s="454"/>
      <c r="E228" s="431"/>
      <c r="F228" s="431"/>
      <c r="G228" s="431"/>
      <c r="H228" s="431"/>
      <c r="I228" s="431"/>
      <c r="J228" s="431"/>
    </row>
    <row r="229" spans="1:10" ht="16.5">
      <c r="A229" s="454"/>
      <c r="B229" s="455"/>
      <c r="C229" s="430"/>
      <c r="D229" s="454"/>
      <c r="E229" s="431"/>
      <c r="F229" s="431"/>
      <c r="G229" s="431"/>
      <c r="H229" s="431"/>
      <c r="I229" s="431"/>
      <c r="J229" s="431"/>
    </row>
    <row r="230" spans="1:10" ht="16.5">
      <c r="A230" s="454"/>
      <c r="B230" s="455"/>
      <c r="C230" s="430"/>
      <c r="D230" s="454"/>
      <c r="E230" s="431"/>
      <c r="F230" s="431"/>
      <c r="G230" s="431"/>
      <c r="H230" s="431"/>
      <c r="I230" s="431"/>
      <c r="J230" s="431"/>
    </row>
    <row r="231" spans="1:10" ht="16.5">
      <c r="A231" s="454"/>
      <c r="B231" s="455"/>
      <c r="C231" s="430"/>
      <c r="D231" s="454"/>
      <c r="E231" s="431"/>
      <c r="F231" s="431"/>
      <c r="G231" s="431"/>
      <c r="H231" s="431"/>
      <c r="I231" s="431"/>
      <c r="J231" s="431"/>
    </row>
    <row r="232" spans="1:10" ht="16.5">
      <c r="A232" s="454"/>
      <c r="B232" s="455"/>
      <c r="C232" s="430"/>
      <c r="D232" s="454"/>
      <c r="E232" s="431"/>
      <c r="F232" s="431"/>
      <c r="G232" s="431"/>
      <c r="H232" s="431"/>
      <c r="I232" s="431"/>
      <c r="J232" s="431"/>
    </row>
    <row r="233" spans="1:10" ht="16.5">
      <c r="A233" s="454"/>
      <c r="B233" s="455"/>
      <c r="C233" s="430"/>
      <c r="D233" s="454"/>
      <c r="E233" s="431"/>
      <c r="F233" s="431"/>
      <c r="G233" s="431"/>
      <c r="H233" s="431"/>
      <c r="I233" s="431"/>
      <c r="J233" s="431"/>
    </row>
    <row r="234" spans="1:10" ht="16.5">
      <c r="A234" s="454"/>
      <c r="B234" s="455"/>
      <c r="C234" s="430"/>
      <c r="D234" s="454"/>
      <c r="E234" s="431"/>
      <c r="F234" s="431"/>
      <c r="G234" s="431"/>
      <c r="H234" s="431"/>
      <c r="I234" s="431"/>
      <c r="J234" s="431"/>
    </row>
    <row r="235" spans="1:10" ht="16.5">
      <c r="A235" s="454"/>
      <c r="B235" s="455"/>
      <c r="C235" s="430"/>
      <c r="D235" s="454"/>
      <c r="E235" s="431"/>
      <c r="F235" s="431"/>
      <c r="G235" s="431"/>
      <c r="H235" s="431"/>
      <c r="I235" s="431"/>
      <c r="J235" s="431"/>
    </row>
    <row r="236" spans="1:10" ht="16.5">
      <c r="A236" s="454"/>
      <c r="B236" s="455"/>
      <c r="C236" s="430"/>
      <c r="D236" s="454"/>
      <c r="E236" s="431"/>
      <c r="F236" s="431"/>
      <c r="G236" s="431"/>
      <c r="H236" s="431"/>
      <c r="I236" s="431"/>
      <c r="J236" s="431"/>
    </row>
    <row r="237" spans="1:10" ht="16.5">
      <c r="A237" s="454"/>
      <c r="B237" s="455"/>
      <c r="C237" s="430"/>
      <c r="D237" s="454"/>
      <c r="E237" s="431"/>
      <c r="F237" s="431"/>
      <c r="G237" s="431"/>
      <c r="H237" s="431"/>
      <c r="I237" s="431"/>
      <c r="J237" s="431"/>
    </row>
    <row r="238" spans="1:10" ht="16.5">
      <c r="A238" s="454"/>
      <c r="B238" s="455"/>
      <c r="C238" s="430"/>
      <c r="D238" s="454"/>
      <c r="E238" s="431"/>
      <c r="F238" s="431"/>
      <c r="G238" s="431"/>
      <c r="H238" s="431"/>
      <c r="I238" s="431"/>
      <c r="J238" s="431"/>
    </row>
    <row r="239" spans="1:10" ht="16.5">
      <c r="A239" s="454"/>
      <c r="B239" s="455"/>
      <c r="C239" s="430"/>
      <c r="D239" s="454"/>
      <c r="E239" s="431"/>
      <c r="F239" s="431"/>
      <c r="G239" s="431"/>
      <c r="H239" s="431"/>
      <c r="I239" s="431"/>
      <c r="J239" s="431"/>
    </row>
    <row r="240" spans="1:10" ht="16.5">
      <c r="A240" s="454"/>
      <c r="B240" s="455"/>
      <c r="C240" s="430"/>
      <c r="D240" s="454"/>
      <c r="E240" s="431"/>
      <c r="F240" s="431"/>
      <c r="G240" s="431"/>
      <c r="H240" s="431"/>
      <c r="I240" s="431"/>
      <c r="J240" s="431"/>
    </row>
    <row r="241" spans="1:10" ht="16.5">
      <c r="A241" s="454"/>
      <c r="B241" s="455"/>
      <c r="C241" s="430"/>
      <c r="D241" s="454"/>
      <c r="E241" s="431"/>
      <c r="F241" s="431"/>
      <c r="G241" s="431"/>
      <c r="H241" s="431"/>
      <c r="I241" s="431"/>
      <c r="J241" s="431"/>
    </row>
    <row r="242" spans="1:10" ht="16.5">
      <c r="A242" s="454"/>
      <c r="B242" s="455"/>
      <c r="C242" s="430"/>
      <c r="D242" s="454"/>
      <c r="E242" s="431"/>
      <c r="F242" s="431"/>
      <c r="G242" s="431"/>
      <c r="H242" s="431"/>
      <c r="I242" s="431"/>
      <c r="J242" s="431"/>
    </row>
    <row r="243" spans="1:10" ht="16.5">
      <c r="A243" s="454"/>
      <c r="B243" s="455"/>
      <c r="C243" s="430"/>
      <c r="D243" s="454"/>
      <c r="E243" s="431"/>
      <c r="F243" s="431"/>
      <c r="G243" s="431"/>
      <c r="H243" s="431"/>
      <c r="I243" s="431"/>
      <c r="J243" s="431"/>
    </row>
    <row r="244" spans="1:10" ht="16.5">
      <c r="A244" s="454"/>
      <c r="B244" s="455"/>
      <c r="C244" s="430"/>
      <c r="D244" s="454"/>
      <c r="E244" s="431"/>
      <c r="F244" s="431"/>
      <c r="G244" s="431"/>
      <c r="H244" s="431"/>
      <c r="I244" s="431"/>
      <c r="J244" s="431"/>
    </row>
    <row r="245" spans="1:10" ht="16.5">
      <c r="A245" s="454"/>
      <c r="B245" s="455"/>
      <c r="C245" s="430"/>
      <c r="D245" s="454"/>
      <c r="E245" s="431"/>
      <c r="F245" s="431"/>
      <c r="G245" s="431"/>
      <c r="H245" s="431"/>
      <c r="I245" s="431"/>
      <c r="J245" s="431"/>
    </row>
    <row r="246" spans="1:10" ht="16.5">
      <c r="A246" s="454"/>
      <c r="B246" s="455"/>
      <c r="C246" s="430"/>
      <c r="D246" s="454"/>
      <c r="E246" s="431"/>
      <c r="F246" s="431"/>
      <c r="G246" s="431"/>
      <c r="H246" s="431"/>
      <c r="I246" s="431"/>
      <c r="J246" s="431"/>
    </row>
    <row r="247" spans="1:10" ht="16.5">
      <c r="A247" s="454"/>
      <c r="B247" s="455"/>
      <c r="C247" s="430"/>
      <c r="D247" s="454"/>
      <c r="E247" s="431"/>
      <c r="F247" s="431"/>
      <c r="G247" s="431"/>
      <c r="H247" s="431"/>
      <c r="I247" s="431"/>
      <c r="J247" s="431"/>
    </row>
    <row r="248" spans="1:10" ht="16.5">
      <c r="A248" s="454"/>
      <c r="B248" s="455"/>
      <c r="C248" s="430"/>
      <c r="D248" s="454"/>
      <c r="E248" s="431"/>
      <c r="F248" s="431"/>
      <c r="G248" s="431"/>
      <c r="H248" s="431"/>
      <c r="I248" s="431"/>
      <c r="J248" s="431"/>
    </row>
    <row r="249" spans="1:10" ht="16.5">
      <c r="A249" s="454"/>
      <c r="B249" s="455"/>
      <c r="C249" s="430"/>
      <c r="D249" s="454"/>
      <c r="E249" s="431"/>
      <c r="F249" s="431"/>
      <c r="G249" s="431"/>
      <c r="H249" s="431"/>
      <c r="I249" s="431"/>
      <c r="J249" s="431"/>
    </row>
    <row r="250" spans="1:10" ht="16.5">
      <c r="A250" s="454"/>
      <c r="B250" s="455"/>
      <c r="C250" s="430"/>
      <c r="D250" s="454"/>
      <c r="E250" s="431"/>
      <c r="F250" s="431"/>
      <c r="G250" s="431"/>
      <c r="H250" s="431"/>
      <c r="I250" s="431"/>
      <c r="J250" s="431"/>
    </row>
  </sheetData>
  <sheetProtection/>
  <mergeCells count="3">
    <mergeCell ref="I1:J1"/>
    <mergeCell ref="B2:J2"/>
    <mergeCell ref="A3:J3"/>
  </mergeCells>
  <printOptions horizontalCentered="1"/>
  <pageMargins left="0.669291338582677" right="0.47244094488189" top="0.44" bottom="0.94488188976378" header="0.34" footer="0.511811023622047"/>
  <pageSetup fitToHeight="0" fitToWidth="1" horizontalDpi="600" verticalDpi="600" orientation="landscape" paperSize="9" scale="80" r:id="rId1"/>
  <headerFooter alignWithMargins="0">
    <oddFooter>&amp;R&amp;"Times New Roman,Regular"&amp;12&amp;P/&amp;N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31.421875" style="155" customWidth="1"/>
    <col min="2" max="2" width="11.140625" style="155" customWidth="1"/>
    <col min="3" max="3" width="2.140625" style="155" customWidth="1"/>
    <col min="4" max="4" width="10.8515625" style="155" customWidth="1"/>
    <col min="5" max="9" width="13.421875" style="155" hidden="1" customWidth="1"/>
    <col min="10" max="10" width="13.421875" style="155" customWidth="1"/>
    <col min="11" max="11" width="11.00390625" style="155" customWidth="1"/>
    <col min="12" max="12" width="1.8515625" style="155" customWidth="1"/>
    <col min="13" max="13" width="9.8515625" style="155" customWidth="1"/>
    <col min="14" max="14" width="11.00390625" style="155" customWidth="1"/>
    <col min="15" max="15" width="2.00390625" style="155" customWidth="1"/>
    <col min="16" max="16" width="10.140625" style="155" customWidth="1"/>
    <col min="17" max="17" width="11.421875" style="155" customWidth="1"/>
    <col min="18" max="18" width="1.8515625" style="155" customWidth="1"/>
    <col min="19" max="19" width="9.57421875" style="155" customWidth="1"/>
    <col min="20" max="20" width="11.140625" style="155" customWidth="1"/>
    <col min="21" max="21" width="1.421875" style="155" customWidth="1"/>
    <col min="22" max="22" width="10.8515625" style="155" customWidth="1"/>
    <col min="23" max="16384" width="11.421875" style="155" customWidth="1"/>
  </cols>
  <sheetData>
    <row r="1" spans="8:25" ht="33.75" customHeight="1">
      <c r="H1" s="1278"/>
      <c r="I1" s="1278"/>
      <c r="V1" s="173" t="s">
        <v>275</v>
      </c>
      <c r="W1" s="192"/>
      <c r="X1" s="192"/>
      <c r="Y1" s="192"/>
    </row>
    <row r="2" spans="1:20" ht="30.75" customHeight="1">
      <c r="A2" s="1280" t="s">
        <v>133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280"/>
      <c r="R2" s="1280"/>
      <c r="S2" s="1280"/>
      <c r="T2" s="1280"/>
    </row>
    <row r="3" spans="1:9" ht="14.25" customHeight="1">
      <c r="A3" s="141"/>
      <c r="B3" s="141"/>
      <c r="C3" s="141"/>
      <c r="D3" s="141"/>
      <c r="E3" s="141"/>
      <c r="F3" s="141"/>
      <c r="G3" s="141"/>
      <c r="H3" s="1278"/>
      <c r="I3" s="1278"/>
    </row>
    <row r="4" spans="1:20" ht="27" customHeight="1">
      <c r="A4" s="142"/>
      <c r="B4" s="142"/>
      <c r="C4" s="142"/>
      <c r="D4" s="142"/>
      <c r="E4" s="142"/>
      <c r="F4" s="142"/>
      <c r="G4" s="142"/>
      <c r="H4" s="1279" t="s">
        <v>134</v>
      </c>
      <c r="I4" s="1279"/>
      <c r="J4" s="1279"/>
      <c r="K4" s="1279"/>
      <c r="L4" s="1279"/>
      <c r="M4" s="1279"/>
      <c r="N4" s="1279"/>
      <c r="O4" s="1279"/>
      <c r="P4" s="1279"/>
      <c r="Q4" s="1279"/>
      <c r="R4" s="1279"/>
      <c r="S4" s="1279"/>
      <c r="T4" s="1279"/>
    </row>
    <row r="5" spans="1:22" ht="43.5" customHeight="1">
      <c r="A5" s="156"/>
      <c r="B5" s="1281" t="s">
        <v>135</v>
      </c>
      <c r="C5" s="1282"/>
      <c r="D5" s="1283"/>
      <c r="E5" s="143" t="s">
        <v>136</v>
      </c>
      <c r="F5" s="143" t="s">
        <v>137</v>
      </c>
      <c r="G5" s="143" t="s">
        <v>138</v>
      </c>
      <c r="H5" s="143" t="s">
        <v>139</v>
      </c>
      <c r="I5" s="143" t="s">
        <v>140</v>
      </c>
      <c r="J5" s="163" t="s">
        <v>213</v>
      </c>
      <c r="K5" s="1281" t="s">
        <v>141</v>
      </c>
      <c r="L5" s="1282"/>
      <c r="M5" s="1283"/>
      <c r="N5" s="1281" t="s">
        <v>142</v>
      </c>
      <c r="O5" s="1282"/>
      <c r="P5" s="1283"/>
      <c r="Q5" s="1281" t="s">
        <v>143</v>
      </c>
      <c r="R5" s="1282"/>
      <c r="S5" s="1283"/>
      <c r="T5" s="1281" t="s">
        <v>144</v>
      </c>
      <c r="U5" s="1282"/>
      <c r="V5" s="1283"/>
    </row>
    <row r="6" spans="1:20" s="167" customFormat="1" ht="36" customHeight="1" hidden="1">
      <c r="A6" s="164" t="s">
        <v>281</v>
      </c>
      <c r="B6" s="165"/>
      <c r="C6" s="165"/>
      <c r="D6" s="165"/>
      <c r="E6" s="165"/>
      <c r="F6" s="165"/>
      <c r="G6" s="165"/>
      <c r="H6" s="165"/>
      <c r="I6" s="165"/>
      <c r="J6" s="166"/>
      <c r="K6" s="165"/>
      <c r="L6" s="165"/>
      <c r="M6" s="165"/>
      <c r="N6" s="165"/>
      <c r="O6" s="165"/>
      <c r="P6" s="165"/>
      <c r="Q6" s="165"/>
      <c r="R6" s="165"/>
      <c r="S6" s="165"/>
      <c r="T6" s="176"/>
    </row>
    <row r="7" spans="1:22" s="148" customFormat="1" ht="24.75" customHeight="1">
      <c r="A7" s="144" t="s">
        <v>145</v>
      </c>
      <c r="B7" s="195" t="e">
        <f>+J7+K7+N7+Q7+T7</f>
        <v>#REF!</v>
      </c>
      <c r="C7" s="180" t="s">
        <v>284</v>
      </c>
      <c r="D7" s="197" t="e">
        <f>+B41</f>
        <v>#REF!</v>
      </c>
      <c r="E7" s="146"/>
      <c r="F7" s="147">
        <f>F8-F9</f>
        <v>-10360</v>
      </c>
      <c r="G7" s="147"/>
      <c r="H7" s="147">
        <f>H8-H9</f>
        <v>-14960</v>
      </c>
      <c r="I7" s="147">
        <f>I8-I9</f>
        <v>-14800</v>
      </c>
      <c r="J7" s="147" t="e">
        <f>+J8-J9</f>
        <v>#REF!</v>
      </c>
      <c r="K7" s="193" t="e">
        <f>+K8-K9</f>
        <v>#REF!</v>
      </c>
      <c r="L7" s="184" t="s">
        <v>284</v>
      </c>
      <c r="M7" s="199" t="e">
        <f>+K41</f>
        <v>#REF!</v>
      </c>
      <c r="N7" s="193" t="e">
        <f>+N8-N9</f>
        <v>#REF!</v>
      </c>
      <c r="O7" s="184" t="s">
        <v>284</v>
      </c>
      <c r="P7" s="199" t="e">
        <f>+N41</f>
        <v>#REF!</v>
      </c>
      <c r="Q7" s="193" t="e">
        <f>+Q8-Q9</f>
        <v>#REF!</v>
      </c>
      <c r="R7" s="184" t="s">
        <v>284</v>
      </c>
      <c r="S7" s="199" t="e">
        <f>+Q41</f>
        <v>#REF!</v>
      </c>
      <c r="T7" s="193" t="e">
        <f>+T8-T9</f>
        <v>#REF!</v>
      </c>
      <c r="U7" s="187" t="s">
        <v>284</v>
      </c>
      <c r="V7" s="199" t="e">
        <f>+T41</f>
        <v>#REF!</v>
      </c>
    </row>
    <row r="8" spans="1:22" s="159" customFormat="1" ht="24.75" customHeight="1">
      <c r="A8" s="157" t="s">
        <v>146</v>
      </c>
      <c r="B8" s="196" t="e">
        <f aca="true" t="shared" si="0" ref="B8:B18">+J8+K8+N8+Q8+T8</f>
        <v>#REF!</v>
      </c>
      <c r="C8" s="181" t="s">
        <v>284</v>
      </c>
      <c r="D8" s="198" t="e">
        <f aca="true" t="shared" si="1" ref="D8:D39">+B42</f>
        <v>#REF!</v>
      </c>
      <c r="E8" s="158"/>
      <c r="F8" s="152">
        <v>48561</v>
      </c>
      <c r="G8" s="152"/>
      <c r="H8" s="152">
        <v>64000</v>
      </c>
      <c r="I8" s="152">
        <v>76700</v>
      </c>
      <c r="J8" s="152" t="e">
        <f>+#REF!*1000</f>
        <v>#REF!</v>
      </c>
      <c r="K8" s="194" t="e">
        <f>+#REF!*1000</f>
        <v>#REF!</v>
      </c>
      <c r="L8" s="182" t="s">
        <v>284</v>
      </c>
      <c r="M8" s="200" t="e">
        <f aca="true" t="shared" si="2" ref="M8:M39">+K42</f>
        <v>#REF!</v>
      </c>
      <c r="N8" s="194" t="e">
        <f>+#REF!*1000</f>
        <v>#REF!</v>
      </c>
      <c r="O8" s="182" t="s">
        <v>284</v>
      </c>
      <c r="P8" s="200" t="e">
        <f aca="true" t="shared" si="3" ref="P8:P39">+N42</f>
        <v>#REF!</v>
      </c>
      <c r="Q8" s="194" t="e">
        <f>+#REF!*1000</f>
        <v>#REF!</v>
      </c>
      <c r="R8" s="182" t="s">
        <v>284</v>
      </c>
      <c r="S8" s="200" t="e">
        <f aca="true" t="shared" si="4" ref="S8:S39">+Q42</f>
        <v>#REF!</v>
      </c>
      <c r="T8" s="194" t="e">
        <f>+#REF!*1000</f>
        <v>#REF!</v>
      </c>
      <c r="U8" s="188" t="s">
        <v>284</v>
      </c>
      <c r="V8" s="200" t="e">
        <f aca="true" t="shared" si="5" ref="V8:V39">+T42</f>
        <v>#REF!</v>
      </c>
    </row>
    <row r="9" spans="1:22" s="159" customFormat="1" ht="24.75" customHeight="1">
      <c r="A9" s="157" t="s">
        <v>147</v>
      </c>
      <c r="B9" s="196" t="e">
        <f t="shared" si="0"/>
        <v>#REF!</v>
      </c>
      <c r="C9" s="181" t="s">
        <v>284</v>
      </c>
      <c r="D9" s="198" t="e">
        <f t="shared" si="1"/>
        <v>#REF!</v>
      </c>
      <c r="E9" s="158"/>
      <c r="F9" s="152">
        <v>58921</v>
      </c>
      <c r="G9" s="160"/>
      <c r="H9" s="160">
        <v>78960</v>
      </c>
      <c r="I9" s="160">
        <v>91500</v>
      </c>
      <c r="J9" s="152" t="e">
        <f>0.9*J10</f>
        <v>#REF!</v>
      </c>
      <c r="K9" s="194" t="e">
        <f>0.9*K10</f>
        <v>#REF!</v>
      </c>
      <c r="L9" s="182" t="s">
        <v>284</v>
      </c>
      <c r="M9" s="200" t="e">
        <f t="shared" si="2"/>
        <v>#REF!</v>
      </c>
      <c r="N9" s="194" t="e">
        <f>0.9*N10</f>
        <v>#REF!</v>
      </c>
      <c r="O9" s="182" t="s">
        <v>284</v>
      </c>
      <c r="P9" s="200" t="e">
        <f t="shared" si="3"/>
        <v>#REF!</v>
      </c>
      <c r="Q9" s="194" t="e">
        <f>0.9*Q10</f>
        <v>#REF!</v>
      </c>
      <c r="R9" s="182" t="s">
        <v>284</v>
      </c>
      <c r="S9" s="200" t="e">
        <f t="shared" si="4"/>
        <v>#REF!</v>
      </c>
      <c r="T9" s="194" t="e">
        <f>0.9*T10</f>
        <v>#REF!</v>
      </c>
      <c r="U9" s="188" t="s">
        <v>284</v>
      </c>
      <c r="V9" s="200" t="e">
        <f t="shared" si="5"/>
        <v>#REF!</v>
      </c>
    </row>
    <row r="10" spans="1:22" s="159" customFormat="1" ht="24.75" customHeight="1">
      <c r="A10" s="157" t="s">
        <v>148</v>
      </c>
      <c r="B10" s="196" t="e">
        <f t="shared" si="0"/>
        <v>#REF!</v>
      </c>
      <c r="C10" s="181" t="s">
        <v>284</v>
      </c>
      <c r="D10" s="198" t="e">
        <f t="shared" si="1"/>
        <v>#REF!</v>
      </c>
      <c r="E10" s="158"/>
      <c r="F10" s="152">
        <v>62682</v>
      </c>
      <c r="G10" s="160"/>
      <c r="H10" s="160">
        <v>84000</v>
      </c>
      <c r="I10" s="160">
        <v>97400</v>
      </c>
      <c r="J10" s="152" t="e">
        <f>+#REF!*1000</f>
        <v>#REF!</v>
      </c>
      <c r="K10" s="194" t="e">
        <f>+#REF!*1000</f>
        <v>#REF!</v>
      </c>
      <c r="L10" s="182" t="s">
        <v>284</v>
      </c>
      <c r="M10" s="200" t="e">
        <f t="shared" si="2"/>
        <v>#REF!</v>
      </c>
      <c r="N10" s="194" t="e">
        <f>+#REF!*1000</f>
        <v>#REF!</v>
      </c>
      <c r="O10" s="182" t="s">
        <v>284</v>
      </c>
      <c r="P10" s="200" t="e">
        <f t="shared" si="3"/>
        <v>#REF!</v>
      </c>
      <c r="Q10" s="194" t="e">
        <f>+#REF!*1000</f>
        <v>#REF!</v>
      </c>
      <c r="R10" s="182" t="s">
        <v>284</v>
      </c>
      <c r="S10" s="200" t="e">
        <f t="shared" si="4"/>
        <v>#REF!</v>
      </c>
      <c r="T10" s="194" t="e">
        <f>+#REF!*1000</f>
        <v>#REF!</v>
      </c>
      <c r="U10" s="188" t="s">
        <v>284</v>
      </c>
      <c r="V10" s="200" t="e">
        <f t="shared" si="5"/>
        <v>#REF!</v>
      </c>
    </row>
    <row r="11" spans="1:22" s="159" customFormat="1" ht="15" customHeight="1">
      <c r="A11" s="157"/>
      <c r="B11" s="178"/>
      <c r="C11" s="181"/>
      <c r="D11" s="174"/>
      <c r="E11" s="158"/>
      <c r="F11" s="152"/>
      <c r="G11" s="152"/>
      <c r="H11" s="152"/>
      <c r="I11" s="152"/>
      <c r="J11" s="152"/>
      <c r="K11" s="179"/>
      <c r="L11" s="182"/>
      <c r="M11" s="175"/>
      <c r="N11" s="179"/>
      <c r="O11" s="182"/>
      <c r="P11" s="175"/>
      <c r="Q11" s="179"/>
      <c r="R11" s="182"/>
      <c r="S11" s="175"/>
      <c r="T11" s="179"/>
      <c r="U11" s="188"/>
      <c r="V11" s="189"/>
    </row>
    <row r="12" spans="1:22" s="148" customFormat="1" ht="24.75" customHeight="1">
      <c r="A12" s="150" t="s">
        <v>149</v>
      </c>
      <c r="B12" s="1275">
        <f t="shared" si="0"/>
        <v>-11500</v>
      </c>
      <c r="C12" s="1276"/>
      <c r="D12" s="1277"/>
      <c r="E12" s="151"/>
      <c r="F12" s="161">
        <f>F13-F14</f>
        <v>-894</v>
      </c>
      <c r="G12" s="161"/>
      <c r="H12" s="161">
        <v>-1300</v>
      </c>
      <c r="I12" s="161">
        <v>-1391</v>
      </c>
      <c r="J12" s="152">
        <v>-3000</v>
      </c>
      <c r="K12" s="1272">
        <v>-1500</v>
      </c>
      <c r="L12" s="1273"/>
      <c r="M12" s="1274"/>
      <c r="N12" s="1272">
        <v>-2000</v>
      </c>
      <c r="O12" s="1273"/>
      <c r="P12" s="1274"/>
      <c r="Q12" s="1272">
        <v>-2500</v>
      </c>
      <c r="R12" s="1273"/>
      <c r="S12" s="1274"/>
      <c r="T12" s="1272">
        <v>-2500</v>
      </c>
      <c r="U12" s="1273"/>
      <c r="V12" s="1274"/>
    </row>
    <row r="13" spans="1:22" s="159" customFormat="1" ht="24.75" customHeight="1" hidden="1">
      <c r="A13" s="157" t="s">
        <v>150</v>
      </c>
      <c r="B13" s="177">
        <f t="shared" si="0"/>
        <v>0</v>
      </c>
      <c r="C13" s="181" t="s">
        <v>284</v>
      </c>
      <c r="D13" s="174">
        <f t="shared" si="1"/>
        <v>0</v>
      </c>
      <c r="E13" s="158"/>
      <c r="F13" s="152">
        <v>6030</v>
      </c>
      <c r="G13" s="152"/>
      <c r="H13" s="152">
        <v>7055</v>
      </c>
      <c r="I13" s="152">
        <v>7549</v>
      </c>
      <c r="J13" s="152"/>
      <c r="K13" s="179"/>
      <c r="L13" s="182" t="s">
        <v>284</v>
      </c>
      <c r="M13" s="175">
        <f t="shared" si="2"/>
        <v>0</v>
      </c>
      <c r="N13" s="179"/>
      <c r="O13" s="182" t="s">
        <v>284</v>
      </c>
      <c r="P13" s="175">
        <f t="shared" si="3"/>
        <v>0</v>
      </c>
      <c r="Q13" s="179"/>
      <c r="R13" s="182" t="s">
        <v>284</v>
      </c>
      <c r="S13" s="175">
        <f t="shared" si="4"/>
        <v>0</v>
      </c>
      <c r="T13" s="179"/>
      <c r="U13" s="188" t="s">
        <v>284</v>
      </c>
      <c r="V13" s="189">
        <f t="shared" si="5"/>
        <v>0</v>
      </c>
    </row>
    <row r="14" spans="1:22" s="159" customFormat="1" ht="24.75" customHeight="1" hidden="1">
      <c r="A14" s="157" t="s">
        <v>151</v>
      </c>
      <c r="B14" s="177">
        <f t="shared" si="0"/>
        <v>0</v>
      </c>
      <c r="C14" s="181" t="s">
        <v>284</v>
      </c>
      <c r="D14" s="174">
        <f t="shared" si="1"/>
        <v>0</v>
      </c>
      <c r="E14" s="158"/>
      <c r="F14" s="152">
        <v>6924</v>
      </c>
      <c r="G14" s="152"/>
      <c r="H14" s="152">
        <v>8355</v>
      </c>
      <c r="I14" s="152">
        <v>8940</v>
      </c>
      <c r="J14" s="152"/>
      <c r="K14" s="179"/>
      <c r="L14" s="182" t="s">
        <v>284</v>
      </c>
      <c r="M14" s="175">
        <f t="shared" si="2"/>
        <v>0</v>
      </c>
      <c r="N14" s="179"/>
      <c r="O14" s="182" t="s">
        <v>284</v>
      </c>
      <c r="P14" s="175">
        <f t="shared" si="3"/>
        <v>0</v>
      </c>
      <c r="Q14" s="179"/>
      <c r="R14" s="182" t="s">
        <v>284</v>
      </c>
      <c r="S14" s="175">
        <f t="shared" si="4"/>
        <v>0</v>
      </c>
      <c r="T14" s="179"/>
      <c r="U14" s="188" t="s">
        <v>284</v>
      </c>
      <c r="V14" s="189">
        <f t="shared" si="5"/>
        <v>0</v>
      </c>
    </row>
    <row r="15" spans="1:22" s="148" customFormat="1" ht="24.75" customHeight="1">
      <c r="A15" s="150" t="s">
        <v>152</v>
      </c>
      <c r="B15" s="1275">
        <f t="shared" si="0"/>
        <v>-34086</v>
      </c>
      <c r="C15" s="1276"/>
      <c r="D15" s="1277"/>
      <c r="E15" s="151"/>
      <c r="F15" s="161">
        <f>F16-F17</f>
        <v>-2168</v>
      </c>
      <c r="G15" s="161"/>
      <c r="H15" s="161">
        <f>H16-H17</f>
        <v>-2432</v>
      </c>
      <c r="I15" s="161">
        <f>I16-I17</f>
        <v>-2602</v>
      </c>
      <c r="J15" s="152">
        <v>-5124</v>
      </c>
      <c r="K15" s="1272">
        <v>-6950</v>
      </c>
      <c r="L15" s="1273"/>
      <c r="M15" s="1274"/>
      <c r="N15" s="1272">
        <v>-6452</v>
      </c>
      <c r="O15" s="1273"/>
      <c r="P15" s="1274"/>
      <c r="Q15" s="1272">
        <v>-7109</v>
      </c>
      <c r="R15" s="1273"/>
      <c r="S15" s="1274"/>
      <c r="T15" s="1272">
        <v>-8451</v>
      </c>
      <c r="U15" s="1273"/>
      <c r="V15" s="1274"/>
    </row>
    <row r="16" spans="1:22" s="159" customFormat="1" ht="24.75" customHeight="1" hidden="1">
      <c r="A16" s="157" t="s">
        <v>150</v>
      </c>
      <c r="B16" s="177">
        <f t="shared" si="0"/>
        <v>0</v>
      </c>
      <c r="C16" s="181" t="s">
        <v>284</v>
      </c>
      <c r="D16" s="174">
        <f t="shared" si="1"/>
        <v>0</v>
      </c>
      <c r="E16" s="158"/>
      <c r="F16" s="152">
        <v>1093</v>
      </c>
      <c r="G16" s="152"/>
      <c r="H16" s="152">
        <v>1268</v>
      </c>
      <c r="I16" s="152">
        <v>1357</v>
      </c>
      <c r="J16" s="152"/>
      <c r="K16" s="179"/>
      <c r="L16" s="182" t="s">
        <v>284</v>
      </c>
      <c r="M16" s="175">
        <f t="shared" si="2"/>
        <v>0</v>
      </c>
      <c r="N16" s="179"/>
      <c r="O16" s="182" t="s">
        <v>284</v>
      </c>
      <c r="P16" s="175">
        <f t="shared" si="3"/>
        <v>0</v>
      </c>
      <c r="Q16" s="179"/>
      <c r="R16" s="182" t="s">
        <v>284</v>
      </c>
      <c r="S16" s="175">
        <f t="shared" si="4"/>
        <v>0</v>
      </c>
      <c r="T16" s="179"/>
      <c r="U16" s="188" t="s">
        <v>284</v>
      </c>
      <c r="V16" s="189">
        <f t="shared" si="5"/>
        <v>0</v>
      </c>
    </row>
    <row r="17" spans="1:22" s="159" customFormat="1" ht="24.75" customHeight="1" hidden="1">
      <c r="A17" s="157" t="s">
        <v>151</v>
      </c>
      <c r="B17" s="177">
        <f t="shared" si="0"/>
        <v>0</v>
      </c>
      <c r="C17" s="181" t="s">
        <v>284</v>
      </c>
      <c r="D17" s="174">
        <f t="shared" si="1"/>
        <v>0</v>
      </c>
      <c r="E17" s="158"/>
      <c r="F17" s="152">
        <v>3261</v>
      </c>
      <c r="G17" s="152"/>
      <c r="H17" s="152">
        <v>3700</v>
      </c>
      <c r="I17" s="152">
        <v>3959</v>
      </c>
      <c r="J17" s="152"/>
      <c r="K17" s="179"/>
      <c r="L17" s="182" t="s">
        <v>284</v>
      </c>
      <c r="M17" s="175">
        <f t="shared" si="2"/>
        <v>0</v>
      </c>
      <c r="N17" s="179"/>
      <c r="O17" s="182" t="s">
        <v>284</v>
      </c>
      <c r="P17" s="175">
        <f t="shared" si="3"/>
        <v>0</v>
      </c>
      <c r="Q17" s="179"/>
      <c r="R17" s="182" t="s">
        <v>284</v>
      </c>
      <c r="S17" s="175">
        <f t="shared" si="4"/>
        <v>0</v>
      </c>
      <c r="T17" s="179"/>
      <c r="U17" s="188" t="s">
        <v>284</v>
      </c>
      <c r="V17" s="189">
        <f t="shared" si="5"/>
        <v>0</v>
      </c>
    </row>
    <row r="18" spans="1:22" s="148" customFormat="1" ht="24.75" customHeight="1">
      <c r="A18" s="150" t="s">
        <v>153</v>
      </c>
      <c r="B18" s="1275">
        <f t="shared" si="0"/>
        <v>32038</v>
      </c>
      <c r="C18" s="1276"/>
      <c r="D18" s="1277"/>
      <c r="E18" s="151"/>
      <c r="F18" s="161">
        <v>6430</v>
      </c>
      <c r="G18" s="161"/>
      <c r="H18" s="161">
        <v>7257</v>
      </c>
      <c r="I18" s="161">
        <v>8100</v>
      </c>
      <c r="J18" s="152">
        <v>6500</v>
      </c>
      <c r="K18" s="1272">
        <v>5700</v>
      </c>
      <c r="L18" s="1273"/>
      <c r="M18" s="1274"/>
      <c r="N18" s="1272">
        <v>6270</v>
      </c>
      <c r="O18" s="1273"/>
      <c r="P18" s="1274"/>
      <c r="Q18" s="1272">
        <v>6717</v>
      </c>
      <c r="R18" s="1273"/>
      <c r="S18" s="1274"/>
      <c r="T18" s="1272">
        <v>6851</v>
      </c>
      <c r="U18" s="1273"/>
      <c r="V18" s="1274"/>
    </row>
    <row r="19" spans="1:22" s="159" customFormat="1" ht="24.75" customHeight="1" hidden="1">
      <c r="A19" s="157" t="s">
        <v>154</v>
      </c>
      <c r="B19" s="177">
        <f>+SUM(J19:T19)</f>
        <v>0</v>
      </c>
      <c r="C19" s="181" t="s">
        <v>284</v>
      </c>
      <c r="D19" s="174">
        <f t="shared" si="1"/>
        <v>0</v>
      </c>
      <c r="E19" s="158"/>
      <c r="F19" s="152">
        <v>250</v>
      </c>
      <c r="G19" s="152"/>
      <c r="H19" s="152">
        <v>257</v>
      </c>
      <c r="I19" s="152">
        <v>260</v>
      </c>
      <c r="J19" s="152"/>
      <c r="K19" s="179"/>
      <c r="L19" s="182" t="s">
        <v>284</v>
      </c>
      <c r="M19" s="175">
        <f t="shared" si="2"/>
        <v>0</v>
      </c>
      <c r="N19" s="179"/>
      <c r="O19" s="182" t="s">
        <v>284</v>
      </c>
      <c r="P19" s="175">
        <f t="shared" si="3"/>
        <v>0</v>
      </c>
      <c r="Q19" s="179"/>
      <c r="R19" s="182" t="s">
        <v>284</v>
      </c>
      <c r="S19" s="175">
        <f t="shared" si="4"/>
        <v>0</v>
      </c>
      <c r="T19" s="179"/>
      <c r="U19" s="188" t="s">
        <v>284</v>
      </c>
      <c r="V19" s="189">
        <f t="shared" si="5"/>
        <v>0</v>
      </c>
    </row>
    <row r="20" spans="1:22" s="159" customFormat="1" ht="24.75" customHeight="1" hidden="1">
      <c r="A20" s="157" t="s">
        <v>155</v>
      </c>
      <c r="B20" s="177">
        <f>+SUM(J20:T20)</f>
        <v>0</v>
      </c>
      <c r="C20" s="181" t="s">
        <v>284</v>
      </c>
      <c r="D20" s="174">
        <f t="shared" si="1"/>
        <v>0</v>
      </c>
      <c r="E20" s="158"/>
      <c r="F20" s="152">
        <v>6180</v>
      </c>
      <c r="G20" s="152"/>
      <c r="H20" s="152">
        <v>7000</v>
      </c>
      <c r="I20" s="152">
        <v>7840</v>
      </c>
      <c r="J20" s="152"/>
      <c r="K20" s="179"/>
      <c r="L20" s="182" t="s">
        <v>284</v>
      </c>
      <c r="M20" s="175">
        <f t="shared" si="2"/>
        <v>0</v>
      </c>
      <c r="N20" s="179"/>
      <c r="O20" s="182" t="s">
        <v>284</v>
      </c>
      <c r="P20" s="175">
        <f t="shared" si="3"/>
        <v>0</v>
      </c>
      <c r="Q20" s="179"/>
      <c r="R20" s="182" t="s">
        <v>284</v>
      </c>
      <c r="S20" s="175">
        <f t="shared" si="4"/>
        <v>0</v>
      </c>
      <c r="T20" s="179"/>
      <c r="U20" s="188" t="s">
        <v>284</v>
      </c>
      <c r="V20" s="189">
        <f t="shared" si="5"/>
        <v>0</v>
      </c>
    </row>
    <row r="21" spans="1:22" s="159" customFormat="1" ht="21.75" customHeight="1">
      <c r="A21" s="157"/>
      <c r="B21" s="177"/>
      <c r="C21" s="181"/>
      <c r="D21" s="174"/>
      <c r="E21" s="158"/>
      <c r="F21" s="152"/>
      <c r="G21" s="152"/>
      <c r="H21" s="152"/>
      <c r="I21" s="152"/>
      <c r="J21" s="152"/>
      <c r="K21" s="179"/>
      <c r="L21" s="182"/>
      <c r="M21" s="175"/>
      <c r="N21" s="179"/>
      <c r="O21" s="182"/>
      <c r="P21" s="175"/>
      <c r="Q21" s="179"/>
      <c r="R21" s="182"/>
      <c r="S21" s="175"/>
      <c r="T21" s="179"/>
      <c r="U21" s="188"/>
      <c r="V21" s="189"/>
    </row>
    <row r="22" spans="1:22" s="148" customFormat="1" ht="24.75" customHeight="1">
      <c r="A22" s="153" t="s">
        <v>156</v>
      </c>
      <c r="B22" s="196" t="e">
        <f aca="true" t="shared" si="6" ref="B22:B39">+J22+K22+N22+Q22+T22</f>
        <v>#REF!</v>
      </c>
      <c r="C22" s="181" t="s">
        <v>284</v>
      </c>
      <c r="D22" s="198" t="e">
        <f t="shared" si="1"/>
        <v>#REF!</v>
      </c>
      <c r="E22" s="154"/>
      <c r="F22" s="161">
        <v>-6992</v>
      </c>
      <c r="G22" s="161"/>
      <c r="H22" s="161">
        <v>-11435</v>
      </c>
      <c r="I22" s="161">
        <v>-10690</v>
      </c>
      <c r="J22" s="152" t="e">
        <f>+J7+J12+J15+J18</f>
        <v>#REF!</v>
      </c>
      <c r="K22" s="194" t="e">
        <f>+K7+K12+K15+K18</f>
        <v>#REF!</v>
      </c>
      <c r="L22" s="182" t="s">
        <v>284</v>
      </c>
      <c r="M22" s="200" t="e">
        <f t="shared" si="2"/>
        <v>#REF!</v>
      </c>
      <c r="N22" s="194" t="e">
        <f>+N7+N12+N15+N18</f>
        <v>#REF!</v>
      </c>
      <c r="O22" s="182" t="s">
        <v>284</v>
      </c>
      <c r="P22" s="200" t="e">
        <f t="shared" si="3"/>
        <v>#REF!</v>
      </c>
      <c r="Q22" s="194" t="e">
        <f>+Q7+Q12+Q15+Q18</f>
        <v>#REF!</v>
      </c>
      <c r="R22" s="182" t="s">
        <v>284</v>
      </c>
      <c r="S22" s="200" t="e">
        <f t="shared" si="4"/>
        <v>#REF!</v>
      </c>
      <c r="T22" s="194" t="e">
        <f>+T7+T12+T15+T18</f>
        <v>#REF!</v>
      </c>
      <c r="U22" s="188" t="s">
        <v>284</v>
      </c>
      <c r="V22" s="200" t="e">
        <f t="shared" si="5"/>
        <v>#REF!</v>
      </c>
    </row>
    <row r="23" spans="1:22" s="159" customFormat="1" ht="19.5" customHeight="1">
      <c r="A23" s="157"/>
      <c r="B23" s="177"/>
      <c r="C23" s="181"/>
      <c r="D23" s="198"/>
      <c r="E23" s="158"/>
      <c r="F23" s="152"/>
      <c r="G23" s="152"/>
      <c r="H23" s="152"/>
      <c r="I23" s="152"/>
      <c r="J23" s="152"/>
      <c r="K23" s="194"/>
      <c r="L23" s="182"/>
      <c r="M23" s="200"/>
      <c r="N23" s="194"/>
      <c r="O23" s="182"/>
      <c r="P23" s="200"/>
      <c r="Q23" s="194"/>
      <c r="R23" s="182"/>
      <c r="S23" s="200"/>
      <c r="T23" s="194"/>
      <c r="U23" s="188"/>
      <c r="V23" s="189"/>
    </row>
    <row r="24" spans="1:22" s="159" customFormat="1" ht="24.75" customHeight="1">
      <c r="A24" s="153" t="s">
        <v>157</v>
      </c>
      <c r="B24" s="196" t="e">
        <f t="shared" si="6"/>
        <v>#REF!</v>
      </c>
      <c r="C24" s="181" t="s">
        <v>284</v>
      </c>
      <c r="D24" s="198" t="e">
        <f t="shared" si="1"/>
        <v>#REF!</v>
      </c>
      <c r="E24" s="158"/>
      <c r="F24" s="152"/>
      <c r="G24" s="152"/>
      <c r="H24" s="152"/>
      <c r="I24" s="152"/>
      <c r="J24" s="152" t="e">
        <f>+J26+J27+J30+J35-3600</f>
        <v>#REF!</v>
      </c>
      <c r="K24" s="194" t="e">
        <f>+K26+K27+K30+K35-3600</f>
        <v>#REF!</v>
      </c>
      <c r="L24" s="182" t="s">
        <v>284</v>
      </c>
      <c r="M24" s="200" t="e">
        <f t="shared" si="2"/>
        <v>#REF!</v>
      </c>
      <c r="N24" s="194" t="e">
        <f>+N26+N27+N30+N35-3600</f>
        <v>#REF!</v>
      </c>
      <c r="O24" s="182" t="s">
        <v>284</v>
      </c>
      <c r="P24" s="200" t="e">
        <f t="shared" si="3"/>
        <v>#REF!</v>
      </c>
      <c r="Q24" s="194" t="e">
        <f>+Q26+Q27+Q30+Q35-3600</f>
        <v>#REF!</v>
      </c>
      <c r="R24" s="182" t="s">
        <v>284</v>
      </c>
      <c r="S24" s="200" t="e">
        <f t="shared" si="4"/>
        <v>#REF!</v>
      </c>
      <c r="T24" s="194" t="e">
        <f>+T26+T27+T30+T35-3600</f>
        <v>#REF!</v>
      </c>
      <c r="U24" s="188" t="s">
        <v>284</v>
      </c>
      <c r="V24" s="200" t="e">
        <f t="shared" si="5"/>
        <v>#REF!</v>
      </c>
    </row>
    <row r="25" spans="1:22" s="159" customFormat="1" ht="21.75" customHeight="1">
      <c r="A25" s="157"/>
      <c r="B25" s="177"/>
      <c r="C25" s="181"/>
      <c r="D25" s="174"/>
      <c r="E25" s="158"/>
      <c r="F25" s="152"/>
      <c r="G25" s="152"/>
      <c r="H25" s="152"/>
      <c r="I25" s="152"/>
      <c r="J25" s="152"/>
      <c r="K25" s="194"/>
      <c r="L25" s="182"/>
      <c r="M25" s="200"/>
      <c r="N25" s="194"/>
      <c r="O25" s="182"/>
      <c r="P25" s="200"/>
      <c r="Q25" s="194"/>
      <c r="R25" s="182"/>
      <c r="S25" s="200"/>
      <c r="T25" s="194"/>
      <c r="U25" s="188"/>
      <c r="V25" s="189"/>
    </row>
    <row r="26" spans="1:22" s="148" customFormat="1" ht="24.75" customHeight="1">
      <c r="A26" s="150" t="s">
        <v>158</v>
      </c>
      <c r="B26" s="196" t="e">
        <f t="shared" si="6"/>
        <v>#REF!</v>
      </c>
      <c r="C26" s="181" t="s">
        <v>284</v>
      </c>
      <c r="D26" s="198" t="e">
        <f t="shared" si="1"/>
        <v>#REF!</v>
      </c>
      <c r="E26" s="151"/>
      <c r="F26" s="161"/>
      <c r="G26" s="161"/>
      <c r="H26" s="161"/>
      <c r="I26" s="161"/>
      <c r="J26" s="152" t="e">
        <f>+#REF!*1000-900</f>
        <v>#REF!</v>
      </c>
      <c r="K26" s="194" t="e">
        <f>+#REF!*1000-1000</f>
        <v>#REF!</v>
      </c>
      <c r="L26" s="182" t="s">
        <v>284</v>
      </c>
      <c r="M26" s="200" t="e">
        <f t="shared" si="2"/>
        <v>#REF!</v>
      </c>
      <c r="N26" s="194" t="e">
        <f>+#REF!*1000-1000</f>
        <v>#REF!</v>
      </c>
      <c r="O26" s="182" t="s">
        <v>284</v>
      </c>
      <c r="P26" s="200" t="e">
        <f t="shared" si="3"/>
        <v>#REF!</v>
      </c>
      <c r="Q26" s="194" t="e">
        <f>+#REF!*1000-1100</f>
        <v>#REF!</v>
      </c>
      <c r="R26" s="182" t="s">
        <v>284</v>
      </c>
      <c r="S26" s="200" t="e">
        <f t="shared" si="4"/>
        <v>#REF!</v>
      </c>
      <c r="T26" s="194" t="e">
        <f>+#REF!*1000-1200</f>
        <v>#REF!</v>
      </c>
      <c r="U26" s="188" t="s">
        <v>284</v>
      </c>
      <c r="V26" s="200" t="e">
        <f t="shared" si="5"/>
        <v>#REF!</v>
      </c>
    </row>
    <row r="27" spans="1:22" s="148" customFormat="1" ht="24.75" customHeight="1">
      <c r="A27" s="150" t="s">
        <v>159</v>
      </c>
      <c r="B27" s="1275">
        <f t="shared" si="6"/>
        <v>13505</v>
      </c>
      <c r="C27" s="1276"/>
      <c r="D27" s="1277"/>
      <c r="E27" s="151"/>
      <c r="F27" s="161">
        <v>2045</v>
      </c>
      <c r="G27" s="161"/>
      <c r="H27" s="161">
        <v>964</v>
      </c>
      <c r="I27" s="161">
        <v>562</v>
      </c>
      <c r="J27" s="152">
        <v>2000</v>
      </c>
      <c r="K27" s="1272">
        <v>2730</v>
      </c>
      <c r="L27" s="1273"/>
      <c r="M27" s="1274"/>
      <c r="N27" s="1272">
        <v>2839</v>
      </c>
      <c r="O27" s="1273"/>
      <c r="P27" s="1274"/>
      <c r="Q27" s="1272">
        <v>2924</v>
      </c>
      <c r="R27" s="1273"/>
      <c r="S27" s="1274"/>
      <c r="T27" s="1272">
        <v>3012</v>
      </c>
      <c r="U27" s="1273"/>
      <c r="V27" s="1274"/>
    </row>
    <row r="28" spans="1:22" s="159" customFormat="1" ht="24.75" customHeight="1" hidden="1">
      <c r="A28" s="157" t="s">
        <v>160</v>
      </c>
      <c r="B28" s="177">
        <f t="shared" si="6"/>
        <v>0</v>
      </c>
      <c r="C28" s="181" t="s">
        <v>284</v>
      </c>
      <c r="D28" s="174">
        <f t="shared" si="1"/>
        <v>0</v>
      </c>
      <c r="E28" s="158"/>
      <c r="F28" s="152">
        <v>3397</v>
      </c>
      <c r="G28" s="152"/>
      <c r="H28" s="152">
        <v>2562</v>
      </c>
      <c r="I28" s="152">
        <v>2639</v>
      </c>
      <c r="J28" s="152"/>
      <c r="K28" s="179"/>
      <c r="L28" s="182" t="s">
        <v>284</v>
      </c>
      <c r="M28" s="175">
        <f t="shared" si="2"/>
        <v>0</v>
      </c>
      <c r="N28" s="179"/>
      <c r="O28" s="182" t="s">
        <v>284</v>
      </c>
      <c r="P28" s="175">
        <f t="shared" si="3"/>
        <v>0</v>
      </c>
      <c r="Q28" s="179"/>
      <c r="R28" s="182" t="s">
        <v>284</v>
      </c>
      <c r="S28" s="175">
        <f t="shared" si="4"/>
        <v>0</v>
      </c>
      <c r="T28" s="179"/>
      <c r="U28" s="188" t="s">
        <v>284</v>
      </c>
      <c r="V28" s="189">
        <f t="shared" si="5"/>
        <v>0</v>
      </c>
    </row>
    <row r="29" spans="1:22" s="159" customFormat="1" ht="24.75" customHeight="1" hidden="1">
      <c r="A29" s="157" t="s">
        <v>161</v>
      </c>
      <c r="B29" s="177">
        <f t="shared" si="6"/>
        <v>0</v>
      </c>
      <c r="C29" s="181" t="s">
        <v>284</v>
      </c>
      <c r="D29" s="174">
        <f t="shared" si="1"/>
        <v>0</v>
      </c>
      <c r="E29" s="158"/>
      <c r="F29" s="152">
        <v>1352</v>
      </c>
      <c r="G29" s="152"/>
      <c r="H29" s="152">
        <v>1598</v>
      </c>
      <c r="I29" s="152">
        <v>2077</v>
      </c>
      <c r="J29" s="152"/>
      <c r="K29" s="179"/>
      <c r="L29" s="182" t="s">
        <v>284</v>
      </c>
      <c r="M29" s="175">
        <f t="shared" si="2"/>
        <v>0</v>
      </c>
      <c r="N29" s="179"/>
      <c r="O29" s="182" t="s">
        <v>284</v>
      </c>
      <c r="P29" s="175">
        <f t="shared" si="3"/>
        <v>0</v>
      </c>
      <c r="Q29" s="179"/>
      <c r="R29" s="182" t="s">
        <v>284</v>
      </c>
      <c r="S29" s="175">
        <f t="shared" si="4"/>
        <v>0</v>
      </c>
      <c r="T29" s="179"/>
      <c r="U29" s="188" t="s">
        <v>284</v>
      </c>
      <c r="V29" s="189">
        <f t="shared" si="5"/>
        <v>0</v>
      </c>
    </row>
    <row r="30" spans="1:22" s="148" customFormat="1" ht="24.75" customHeight="1">
      <c r="A30" s="150" t="s">
        <v>162</v>
      </c>
      <c r="B30" s="1275">
        <f t="shared" si="6"/>
        <v>7900</v>
      </c>
      <c r="C30" s="1276"/>
      <c r="D30" s="1277"/>
      <c r="E30" s="151"/>
      <c r="F30" s="161">
        <v>79</v>
      </c>
      <c r="G30" s="161"/>
      <c r="H30" s="161">
        <v>168</v>
      </c>
      <c r="I30" s="161">
        <v>-575</v>
      </c>
      <c r="J30" s="152">
        <v>800</v>
      </c>
      <c r="K30" s="1272">
        <v>1700</v>
      </c>
      <c r="L30" s="1273"/>
      <c r="M30" s="1274"/>
      <c r="N30" s="1272">
        <v>1900</v>
      </c>
      <c r="O30" s="1273"/>
      <c r="P30" s="1274"/>
      <c r="Q30" s="1272">
        <v>1700</v>
      </c>
      <c r="R30" s="1273"/>
      <c r="S30" s="1274"/>
      <c r="T30" s="1272">
        <v>1800</v>
      </c>
      <c r="U30" s="1273"/>
      <c r="V30" s="1274"/>
    </row>
    <row r="31" spans="1:22" s="159" customFormat="1" ht="24.75" customHeight="1" hidden="1">
      <c r="A31" s="157" t="s">
        <v>160</v>
      </c>
      <c r="B31" s="177">
        <f t="shared" si="6"/>
        <v>0</v>
      </c>
      <c r="C31" s="181" t="s">
        <v>284</v>
      </c>
      <c r="D31" s="174">
        <f t="shared" si="1"/>
        <v>0</v>
      </c>
      <c r="E31" s="158"/>
      <c r="F31" s="152">
        <v>1404</v>
      </c>
      <c r="G31" s="152"/>
      <c r="H31" s="152">
        <v>3360</v>
      </c>
      <c r="I31" s="152">
        <v>3000</v>
      </c>
      <c r="J31" s="152"/>
      <c r="K31" s="179"/>
      <c r="L31" s="182" t="s">
        <v>284</v>
      </c>
      <c r="M31" s="175">
        <f t="shared" si="2"/>
        <v>0</v>
      </c>
      <c r="N31" s="179"/>
      <c r="O31" s="182" t="s">
        <v>284</v>
      </c>
      <c r="P31" s="175">
        <f t="shared" si="3"/>
        <v>0</v>
      </c>
      <c r="Q31" s="179"/>
      <c r="R31" s="182" t="s">
        <v>284</v>
      </c>
      <c r="S31" s="175">
        <f t="shared" si="4"/>
        <v>0</v>
      </c>
      <c r="T31" s="179"/>
      <c r="U31" s="188" t="s">
        <v>284</v>
      </c>
      <c r="V31" s="189">
        <f t="shared" si="5"/>
        <v>0</v>
      </c>
    </row>
    <row r="32" spans="1:22" s="159" customFormat="1" ht="24.75" customHeight="1" hidden="1">
      <c r="A32" s="157" t="s">
        <v>161</v>
      </c>
      <c r="B32" s="177">
        <f t="shared" si="6"/>
        <v>0</v>
      </c>
      <c r="C32" s="181" t="s">
        <v>284</v>
      </c>
      <c r="D32" s="174">
        <f t="shared" si="1"/>
        <v>0</v>
      </c>
      <c r="E32" s="158"/>
      <c r="F32" s="152">
        <v>1325</v>
      </c>
      <c r="G32" s="152"/>
      <c r="H32" s="152">
        <v>3192</v>
      </c>
      <c r="I32" s="152">
        <v>3575</v>
      </c>
      <c r="J32" s="152"/>
      <c r="K32" s="179"/>
      <c r="L32" s="182" t="s">
        <v>284</v>
      </c>
      <c r="M32" s="175">
        <f t="shared" si="2"/>
        <v>0</v>
      </c>
      <c r="N32" s="179"/>
      <c r="O32" s="182" t="s">
        <v>284</v>
      </c>
      <c r="P32" s="175">
        <f t="shared" si="3"/>
        <v>0</v>
      </c>
      <c r="Q32" s="179"/>
      <c r="R32" s="182" t="s">
        <v>284</v>
      </c>
      <c r="S32" s="175">
        <f t="shared" si="4"/>
        <v>0</v>
      </c>
      <c r="T32" s="179"/>
      <c r="U32" s="188" t="s">
        <v>284</v>
      </c>
      <c r="V32" s="189">
        <f t="shared" si="5"/>
        <v>0</v>
      </c>
    </row>
    <row r="33" spans="1:22" s="148" customFormat="1" ht="24.75" customHeight="1" hidden="1">
      <c r="A33" s="150" t="s">
        <v>163</v>
      </c>
      <c r="B33" s="177">
        <f t="shared" si="6"/>
        <v>0</v>
      </c>
      <c r="C33" s="181" t="s">
        <v>284</v>
      </c>
      <c r="D33" s="174">
        <f t="shared" si="1"/>
        <v>0</v>
      </c>
      <c r="E33" s="151"/>
      <c r="F33" s="161">
        <v>6243</v>
      </c>
      <c r="G33" s="161"/>
      <c r="H33" s="161">
        <v>1300</v>
      </c>
      <c r="I33" s="161">
        <v>2000</v>
      </c>
      <c r="J33" s="152"/>
      <c r="K33" s="179"/>
      <c r="L33" s="182" t="s">
        <v>284</v>
      </c>
      <c r="M33" s="175">
        <f t="shared" si="2"/>
        <v>0</v>
      </c>
      <c r="N33" s="179"/>
      <c r="O33" s="182" t="s">
        <v>284</v>
      </c>
      <c r="P33" s="175">
        <f t="shared" si="3"/>
        <v>0</v>
      </c>
      <c r="Q33" s="179"/>
      <c r="R33" s="182" t="s">
        <v>284</v>
      </c>
      <c r="S33" s="175">
        <f t="shared" si="4"/>
        <v>0</v>
      </c>
      <c r="T33" s="179"/>
      <c r="U33" s="188" t="s">
        <v>284</v>
      </c>
      <c r="V33" s="189">
        <f t="shared" si="5"/>
        <v>0</v>
      </c>
    </row>
    <row r="34" spans="1:22" s="148" customFormat="1" ht="24.75" customHeight="1" hidden="1">
      <c r="A34" s="150" t="s">
        <v>164</v>
      </c>
      <c r="B34" s="177">
        <f t="shared" si="6"/>
        <v>0</v>
      </c>
      <c r="C34" s="181" t="s">
        <v>284</v>
      </c>
      <c r="D34" s="174">
        <f t="shared" si="1"/>
        <v>0</v>
      </c>
      <c r="E34" s="151"/>
      <c r="F34" s="161">
        <v>2623</v>
      </c>
      <c r="G34" s="161"/>
      <c r="H34" s="161">
        <v>4800</v>
      </c>
      <c r="I34" s="161">
        <v>2500</v>
      </c>
      <c r="J34" s="152"/>
      <c r="K34" s="179"/>
      <c r="L34" s="182" t="s">
        <v>284</v>
      </c>
      <c r="M34" s="175">
        <f t="shared" si="2"/>
        <v>0</v>
      </c>
      <c r="N34" s="179"/>
      <c r="O34" s="182" t="s">
        <v>284</v>
      </c>
      <c r="P34" s="175">
        <f t="shared" si="3"/>
        <v>0</v>
      </c>
      <c r="Q34" s="179"/>
      <c r="R34" s="182" t="s">
        <v>284</v>
      </c>
      <c r="S34" s="175">
        <f t="shared" si="4"/>
        <v>0</v>
      </c>
      <c r="T34" s="179"/>
      <c r="U34" s="188" t="s">
        <v>284</v>
      </c>
      <c r="V34" s="189">
        <f t="shared" si="5"/>
        <v>0</v>
      </c>
    </row>
    <row r="35" spans="1:22" s="148" customFormat="1" ht="24.75" customHeight="1">
      <c r="A35" s="150" t="s">
        <v>200</v>
      </c>
      <c r="B35" s="1275">
        <f t="shared" si="6"/>
        <v>10400</v>
      </c>
      <c r="C35" s="1276"/>
      <c r="D35" s="1277"/>
      <c r="E35" s="151"/>
      <c r="F35" s="161"/>
      <c r="G35" s="161"/>
      <c r="H35" s="161"/>
      <c r="I35" s="161"/>
      <c r="J35" s="152">
        <v>1200</v>
      </c>
      <c r="K35" s="1272">
        <v>2000</v>
      </c>
      <c r="L35" s="1273"/>
      <c r="M35" s="1274"/>
      <c r="N35" s="1272">
        <v>2200</v>
      </c>
      <c r="O35" s="1273"/>
      <c r="P35" s="1274"/>
      <c r="Q35" s="1272">
        <v>2500</v>
      </c>
      <c r="R35" s="1273"/>
      <c r="S35" s="1274"/>
      <c r="T35" s="1272">
        <v>2500</v>
      </c>
      <c r="U35" s="1273"/>
      <c r="V35" s="1274"/>
    </row>
    <row r="36" spans="1:22" s="159" customFormat="1" ht="15.75" customHeight="1">
      <c r="A36" s="157"/>
      <c r="B36" s="177"/>
      <c r="C36" s="181"/>
      <c r="D36" s="174"/>
      <c r="E36" s="158"/>
      <c r="F36" s="152"/>
      <c r="G36" s="152"/>
      <c r="H36" s="152"/>
      <c r="I36" s="152"/>
      <c r="J36" s="152"/>
      <c r="K36" s="179"/>
      <c r="L36" s="182"/>
      <c r="M36" s="175"/>
      <c r="N36" s="179"/>
      <c r="O36" s="182"/>
      <c r="P36" s="175"/>
      <c r="Q36" s="179"/>
      <c r="R36" s="182"/>
      <c r="S36" s="175"/>
      <c r="T36" s="179"/>
      <c r="U36" s="188"/>
      <c r="V36" s="189"/>
    </row>
    <row r="37" spans="1:22" s="148" customFormat="1" ht="24.75" customHeight="1">
      <c r="A37" s="150" t="s">
        <v>165</v>
      </c>
      <c r="B37" s="1275">
        <f t="shared" si="6"/>
        <v>-12500</v>
      </c>
      <c r="C37" s="1276"/>
      <c r="D37" s="1277"/>
      <c r="E37" s="151"/>
      <c r="F37" s="161">
        <v>-380</v>
      </c>
      <c r="G37" s="161"/>
      <c r="H37" s="161">
        <v>-300</v>
      </c>
      <c r="I37" s="161">
        <v>-300</v>
      </c>
      <c r="J37" s="152">
        <v>-2500</v>
      </c>
      <c r="K37" s="1272">
        <v>-2500</v>
      </c>
      <c r="L37" s="1273"/>
      <c r="M37" s="1274"/>
      <c r="N37" s="1272">
        <v>-2500</v>
      </c>
      <c r="O37" s="1273"/>
      <c r="P37" s="1274"/>
      <c r="Q37" s="1272">
        <v>-2500</v>
      </c>
      <c r="R37" s="1273"/>
      <c r="S37" s="1274"/>
      <c r="T37" s="1272">
        <v>-2500</v>
      </c>
      <c r="U37" s="1273"/>
      <c r="V37" s="1274"/>
    </row>
    <row r="38" spans="1:22" s="159" customFormat="1" ht="15" customHeight="1">
      <c r="A38" s="157"/>
      <c r="B38" s="177"/>
      <c r="C38" s="181"/>
      <c r="D38" s="174"/>
      <c r="E38" s="158"/>
      <c r="F38" s="152"/>
      <c r="G38" s="152"/>
      <c r="H38" s="152"/>
      <c r="I38" s="152"/>
      <c r="J38" s="152"/>
      <c r="K38" s="179"/>
      <c r="L38" s="182"/>
      <c r="M38" s="175"/>
      <c r="N38" s="179"/>
      <c r="O38" s="182"/>
      <c r="P38" s="175"/>
      <c r="Q38" s="179"/>
      <c r="R38" s="182"/>
      <c r="S38" s="175"/>
      <c r="T38" s="179"/>
      <c r="U38" s="188"/>
      <c r="V38" s="189"/>
    </row>
    <row r="39" spans="1:22" s="148" customFormat="1" ht="24.75" customHeight="1">
      <c r="A39" s="168" t="s">
        <v>166</v>
      </c>
      <c r="B39" s="203" t="e">
        <f t="shared" si="6"/>
        <v>#REF!</v>
      </c>
      <c r="C39" s="190" t="s">
        <v>284</v>
      </c>
      <c r="D39" s="202" t="e">
        <f t="shared" si="1"/>
        <v>#REF!</v>
      </c>
      <c r="E39" s="170"/>
      <c r="F39" s="171"/>
      <c r="G39" s="171"/>
      <c r="H39" s="171"/>
      <c r="I39" s="171"/>
      <c r="J39" s="169" t="e">
        <f>+J22+J24+J37</f>
        <v>#REF!</v>
      </c>
      <c r="K39" s="204" t="e">
        <f>+K22+K24+K37</f>
        <v>#REF!</v>
      </c>
      <c r="L39" s="183" t="s">
        <v>284</v>
      </c>
      <c r="M39" s="201" t="e">
        <f t="shared" si="2"/>
        <v>#REF!</v>
      </c>
      <c r="N39" s="204" t="e">
        <f>+N22+N24+N37</f>
        <v>#REF!</v>
      </c>
      <c r="O39" s="183" t="s">
        <v>284</v>
      </c>
      <c r="P39" s="201" t="e">
        <f t="shared" si="3"/>
        <v>#REF!</v>
      </c>
      <c r="Q39" s="204" t="e">
        <f>+Q22+Q24+Q37</f>
        <v>#REF!</v>
      </c>
      <c r="R39" s="183" t="s">
        <v>284</v>
      </c>
      <c r="S39" s="201" t="e">
        <f t="shared" si="4"/>
        <v>#REF!</v>
      </c>
      <c r="T39" s="204" t="e">
        <f>+T22+T24+T37</f>
        <v>#REF!</v>
      </c>
      <c r="U39" s="191" t="s">
        <v>284</v>
      </c>
      <c r="V39" s="201" t="e">
        <f t="shared" si="5"/>
        <v>#REF!</v>
      </c>
    </row>
    <row r="40" spans="1:20" s="172" customFormat="1" ht="36" customHeight="1" hidden="1">
      <c r="A40" s="176" t="s">
        <v>282</v>
      </c>
      <c r="B40" s="176"/>
      <c r="C40" s="176"/>
      <c r="D40" s="176"/>
      <c r="E40" s="176"/>
      <c r="F40" s="176"/>
      <c r="G40" s="176"/>
      <c r="H40" s="176"/>
      <c r="I40" s="176"/>
      <c r="J40" s="185"/>
      <c r="K40" s="176"/>
      <c r="L40" s="186" t="s">
        <v>284</v>
      </c>
      <c r="M40" s="176"/>
      <c r="N40" s="176"/>
      <c r="O40" s="176"/>
      <c r="P40" s="176"/>
      <c r="Q40" s="176"/>
      <c r="R40" s="176"/>
      <c r="S40" s="176"/>
      <c r="T40" s="176"/>
    </row>
    <row r="41" spans="1:20" s="148" customFormat="1" ht="24.75" customHeight="1" hidden="1">
      <c r="A41" s="144" t="s">
        <v>145</v>
      </c>
      <c r="B41" s="145" t="e">
        <f>SUM(J41:T41)</f>
        <v>#REF!</v>
      </c>
      <c r="C41" s="145"/>
      <c r="D41" s="145"/>
      <c r="E41" s="146"/>
      <c r="F41" s="147">
        <f>F42-F43</f>
        <v>-10360</v>
      </c>
      <c r="G41" s="147"/>
      <c r="H41" s="147">
        <f>H42-H43</f>
        <v>-14960</v>
      </c>
      <c r="I41" s="147">
        <f>I42-I43</f>
        <v>-14800</v>
      </c>
      <c r="J41" s="147" t="e">
        <f>+J42-J43</f>
        <v>#REF!</v>
      </c>
      <c r="K41" s="147" t="e">
        <f>+K42-K43</f>
        <v>#REF!</v>
      </c>
      <c r="L41" s="184" t="s">
        <v>284</v>
      </c>
      <c r="M41" s="147"/>
      <c r="N41" s="147" t="e">
        <f>+N42-N43</f>
        <v>#REF!</v>
      </c>
      <c r="O41" s="147"/>
      <c r="P41" s="147"/>
      <c r="Q41" s="147" t="e">
        <f>+Q42-Q43</f>
        <v>#REF!</v>
      </c>
      <c r="R41" s="147"/>
      <c r="S41" s="147"/>
      <c r="T41" s="147" t="e">
        <f>+T42-T43</f>
        <v>#REF!</v>
      </c>
    </row>
    <row r="42" spans="1:20" s="159" customFormat="1" ht="24.75" customHeight="1" hidden="1">
      <c r="A42" s="157" t="s">
        <v>146</v>
      </c>
      <c r="B42" s="149" t="e">
        <f>SUM(J42:T42)</f>
        <v>#REF!</v>
      </c>
      <c r="C42" s="149"/>
      <c r="D42" s="149"/>
      <c r="E42" s="158"/>
      <c r="F42" s="152">
        <v>48561</v>
      </c>
      <c r="G42" s="152"/>
      <c r="H42" s="152">
        <v>64000</v>
      </c>
      <c r="I42" s="152">
        <v>76700</v>
      </c>
      <c r="J42" s="152" t="e">
        <f>+#REF!*1000</f>
        <v>#REF!</v>
      </c>
      <c r="K42" s="152" t="e">
        <f>+#REF!*1000</f>
        <v>#REF!</v>
      </c>
      <c r="L42" s="184" t="s">
        <v>284</v>
      </c>
      <c r="M42" s="152"/>
      <c r="N42" s="152" t="e">
        <f>+#REF!*1000</f>
        <v>#REF!</v>
      </c>
      <c r="O42" s="152"/>
      <c r="P42" s="152"/>
      <c r="Q42" s="152" t="e">
        <f>+#REF!*1000</f>
        <v>#REF!</v>
      </c>
      <c r="R42" s="152"/>
      <c r="S42" s="152"/>
      <c r="T42" s="152" t="e">
        <f>+#REF!*1000</f>
        <v>#REF!</v>
      </c>
    </row>
    <row r="43" spans="1:20" s="159" customFormat="1" ht="24.75" customHeight="1" hidden="1">
      <c r="A43" s="157" t="s">
        <v>147</v>
      </c>
      <c r="B43" s="149" t="e">
        <f>SUM(J43:T43)</f>
        <v>#REF!</v>
      </c>
      <c r="C43" s="149"/>
      <c r="D43" s="149"/>
      <c r="E43" s="158"/>
      <c r="F43" s="152">
        <v>58921</v>
      </c>
      <c r="G43" s="160"/>
      <c r="H43" s="160">
        <v>78960</v>
      </c>
      <c r="I43" s="160">
        <v>91500</v>
      </c>
      <c r="J43" s="152" t="e">
        <f>0.9*J44</f>
        <v>#REF!</v>
      </c>
      <c r="K43" s="152" t="e">
        <f>0.9*K44</f>
        <v>#REF!</v>
      </c>
      <c r="L43" s="184" t="s">
        <v>284</v>
      </c>
      <c r="M43" s="152"/>
      <c r="N43" s="152" t="e">
        <f>0.9*N44</f>
        <v>#REF!</v>
      </c>
      <c r="O43" s="152"/>
      <c r="P43" s="152"/>
      <c r="Q43" s="152" t="e">
        <f>0.9*Q44</f>
        <v>#REF!</v>
      </c>
      <c r="R43" s="152"/>
      <c r="S43" s="152"/>
      <c r="T43" s="152" t="e">
        <f>0.9*T44</f>
        <v>#REF!</v>
      </c>
    </row>
    <row r="44" spans="1:20" s="159" customFormat="1" ht="24.75" customHeight="1" hidden="1">
      <c r="A44" s="157" t="s">
        <v>148</v>
      </c>
      <c r="B44" s="149" t="e">
        <f>SUM(J44:T44)</f>
        <v>#REF!</v>
      </c>
      <c r="C44" s="149"/>
      <c r="D44" s="149"/>
      <c r="E44" s="158"/>
      <c r="F44" s="152">
        <v>62682</v>
      </c>
      <c r="G44" s="160"/>
      <c r="H44" s="160">
        <v>84000</v>
      </c>
      <c r="I44" s="160">
        <v>97400</v>
      </c>
      <c r="J44" s="152" t="e">
        <f>+#REF!*1000</f>
        <v>#REF!</v>
      </c>
      <c r="K44" s="152" t="e">
        <f>+#REF!*1000</f>
        <v>#REF!</v>
      </c>
      <c r="L44" s="184" t="s">
        <v>284</v>
      </c>
      <c r="M44" s="152"/>
      <c r="N44" s="152" t="e">
        <f>+#REF!*1000</f>
        <v>#REF!</v>
      </c>
      <c r="O44" s="152"/>
      <c r="P44" s="152"/>
      <c r="Q44" s="152" t="e">
        <f>+#REF!*1000</f>
        <v>#REF!</v>
      </c>
      <c r="R44" s="152"/>
      <c r="S44" s="152"/>
      <c r="T44" s="152" t="e">
        <f>+#REF!*1000</f>
        <v>#REF!</v>
      </c>
    </row>
    <row r="45" spans="1:20" s="159" customFormat="1" ht="15" customHeight="1" hidden="1">
      <c r="A45" s="157"/>
      <c r="B45" s="158"/>
      <c r="C45" s="158"/>
      <c r="D45" s="158"/>
      <c r="E45" s="158"/>
      <c r="F45" s="152"/>
      <c r="G45" s="152"/>
      <c r="H45" s="152"/>
      <c r="I45" s="152"/>
      <c r="J45" s="152"/>
      <c r="K45" s="152"/>
      <c r="L45" s="184" t="s">
        <v>284</v>
      </c>
      <c r="M45" s="152"/>
      <c r="N45" s="152"/>
      <c r="O45" s="152"/>
      <c r="P45" s="152"/>
      <c r="Q45" s="152"/>
      <c r="R45" s="152"/>
      <c r="S45" s="152"/>
      <c r="T45" s="152"/>
    </row>
    <row r="46" spans="1:20" s="148" customFormat="1" ht="35.25" customHeight="1" hidden="1">
      <c r="A46" s="150" t="s">
        <v>149</v>
      </c>
      <c r="B46" s="149">
        <f>+SUM(J46:T46)</f>
        <v>-11500</v>
      </c>
      <c r="C46" s="149"/>
      <c r="D46" s="149"/>
      <c r="E46" s="151"/>
      <c r="F46" s="161">
        <f>F47-F48</f>
        <v>-894</v>
      </c>
      <c r="G46" s="161"/>
      <c r="H46" s="161">
        <v>-1300</v>
      </c>
      <c r="I46" s="161">
        <v>-1391</v>
      </c>
      <c r="J46" s="152">
        <v>-3000</v>
      </c>
      <c r="K46" s="152">
        <v>-1500</v>
      </c>
      <c r="L46" s="184" t="s">
        <v>284</v>
      </c>
      <c r="M46" s="152"/>
      <c r="N46" s="152">
        <v>-2000</v>
      </c>
      <c r="O46" s="152"/>
      <c r="P46" s="152"/>
      <c r="Q46" s="152">
        <v>-2500</v>
      </c>
      <c r="R46" s="152"/>
      <c r="S46" s="152"/>
      <c r="T46" s="152">
        <v>-2500</v>
      </c>
    </row>
    <row r="47" spans="1:20" s="159" customFormat="1" ht="24.75" customHeight="1" hidden="1">
      <c r="A47" s="157" t="s">
        <v>150</v>
      </c>
      <c r="B47" s="149">
        <f aca="true" t="shared" si="7" ref="B47:B73">+SUM(J47:T47)</f>
        <v>0</v>
      </c>
      <c r="C47" s="149"/>
      <c r="D47" s="149"/>
      <c r="E47" s="158"/>
      <c r="F47" s="152">
        <v>6030</v>
      </c>
      <c r="G47" s="152"/>
      <c r="H47" s="152">
        <v>7055</v>
      </c>
      <c r="I47" s="152">
        <v>7549</v>
      </c>
      <c r="J47" s="152"/>
      <c r="K47" s="152"/>
      <c r="L47" s="184" t="s">
        <v>284</v>
      </c>
      <c r="M47" s="152"/>
      <c r="N47" s="152"/>
      <c r="O47" s="152"/>
      <c r="P47" s="152"/>
      <c r="Q47" s="152"/>
      <c r="R47" s="152"/>
      <c r="S47" s="152"/>
      <c r="T47" s="152"/>
    </row>
    <row r="48" spans="1:20" s="159" customFormat="1" ht="24.75" customHeight="1" hidden="1">
      <c r="A48" s="157" t="s">
        <v>151</v>
      </c>
      <c r="B48" s="149">
        <f t="shared" si="7"/>
        <v>0</v>
      </c>
      <c r="C48" s="149"/>
      <c r="D48" s="149"/>
      <c r="E48" s="158"/>
      <c r="F48" s="152">
        <v>6924</v>
      </c>
      <c r="G48" s="152"/>
      <c r="H48" s="152">
        <v>8355</v>
      </c>
      <c r="I48" s="152">
        <v>8940</v>
      </c>
      <c r="J48" s="152"/>
      <c r="K48" s="152"/>
      <c r="L48" s="184" t="s">
        <v>284</v>
      </c>
      <c r="M48" s="152"/>
      <c r="N48" s="152"/>
      <c r="O48" s="152"/>
      <c r="P48" s="152"/>
      <c r="Q48" s="152"/>
      <c r="R48" s="152"/>
      <c r="S48" s="152"/>
      <c r="T48" s="152"/>
    </row>
    <row r="49" spans="1:20" s="148" customFormat="1" ht="33.75" customHeight="1" hidden="1">
      <c r="A49" s="150" t="s">
        <v>152</v>
      </c>
      <c r="B49" s="149">
        <f t="shared" si="7"/>
        <v>-34086</v>
      </c>
      <c r="C49" s="149"/>
      <c r="D49" s="149"/>
      <c r="E49" s="151"/>
      <c r="F49" s="161">
        <f>F50-F51</f>
        <v>-2168</v>
      </c>
      <c r="G49" s="161"/>
      <c r="H49" s="161">
        <f>H50-H51</f>
        <v>-2432</v>
      </c>
      <c r="I49" s="161">
        <f>I50-I51</f>
        <v>-2602</v>
      </c>
      <c r="J49" s="152">
        <v>-5124</v>
      </c>
      <c r="K49" s="152">
        <v>-6950</v>
      </c>
      <c r="L49" s="184" t="s">
        <v>284</v>
      </c>
      <c r="M49" s="152"/>
      <c r="N49" s="152">
        <v>-6452</v>
      </c>
      <c r="O49" s="152"/>
      <c r="P49" s="152"/>
      <c r="Q49" s="152">
        <v>-7109</v>
      </c>
      <c r="R49" s="152"/>
      <c r="S49" s="152"/>
      <c r="T49" s="152">
        <v>-8451</v>
      </c>
    </row>
    <row r="50" spans="1:20" s="159" customFormat="1" ht="24.75" customHeight="1" hidden="1">
      <c r="A50" s="157" t="s">
        <v>150</v>
      </c>
      <c r="B50" s="149">
        <f t="shared" si="7"/>
        <v>0</v>
      </c>
      <c r="C50" s="149"/>
      <c r="D50" s="149"/>
      <c r="E50" s="158"/>
      <c r="F50" s="152">
        <v>1093</v>
      </c>
      <c r="G50" s="152"/>
      <c r="H50" s="152">
        <v>1268</v>
      </c>
      <c r="I50" s="152">
        <v>1357</v>
      </c>
      <c r="J50" s="152"/>
      <c r="K50" s="152"/>
      <c r="L50" s="184" t="s">
        <v>284</v>
      </c>
      <c r="M50" s="152"/>
      <c r="N50" s="152"/>
      <c r="O50" s="152"/>
      <c r="P50" s="152"/>
      <c r="Q50" s="152"/>
      <c r="R50" s="152"/>
      <c r="S50" s="152"/>
      <c r="T50" s="152"/>
    </row>
    <row r="51" spans="1:20" s="159" customFormat="1" ht="24.75" customHeight="1" hidden="1">
      <c r="A51" s="157" t="s">
        <v>151</v>
      </c>
      <c r="B51" s="149">
        <f t="shared" si="7"/>
        <v>0</v>
      </c>
      <c r="C51" s="149"/>
      <c r="D51" s="149"/>
      <c r="E51" s="158"/>
      <c r="F51" s="152">
        <v>3261</v>
      </c>
      <c r="G51" s="152"/>
      <c r="H51" s="152">
        <v>3700</v>
      </c>
      <c r="I51" s="152">
        <v>3959</v>
      </c>
      <c r="J51" s="152"/>
      <c r="K51" s="152"/>
      <c r="L51" s="184" t="s">
        <v>284</v>
      </c>
      <c r="M51" s="152"/>
      <c r="N51" s="152"/>
      <c r="O51" s="152"/>
      <c r="P51" s="152"/>
      <c r="Q51" s="152"/>
      <c r="R51" s="152"/>
      <c r="S51" s="152"/>
      <c r="T51" s="152"/>
    </row>
    <row r="52" spans="1:20" s="148" customFormat="1" ht="32.25" customHeight="1" hidden="1">
      <c r="A52" s="150" t="s">
        <v>153</v>
      </c>
      <c r="B52" s="149">
        <f t="shared" si="7"/>
        <v>32038</v>
      </c>
      <c r="C52" s="149"/>
      <c r="D52" s="149"/>
      <c r="E52" s="151"/>
      <c r="F52" s="161">
        <v>6430</v>
      </c>
      <c r="G52" s="161"/>
      <c r="H52" s="161">
        <v>7257</v>
      </c>
      <c r="I52" s="161">
        <v>8100</v>
      </c>
      <c r="J52" s="152">
        <v>6500</v>
      </c>
      <c r="K52" s="152">
        <v>5700</v>
      </c>
      <c r="L52" s="184" t="s">
        <v>284</v>
      </c>
      <c r="M52" s="152"/>
      <c r="N52" s="152">
        <v>6270</v>
      </c>
      <c r="O52" s="152"/>
      <c r="P52" s="152"/>
      <c r="Q52" s="152">
        <v>6717</v>
      </c>
      <c r="R52" s="152"/>
      <c r="S52" s="152"/>
      <c r="T52" s="152">
        <v>6851</v>
      </c>
    </row>
    <row r="53" spans="1:20" s="159" customFormat="1" ht="24.75" customHeight="1" hidden="1">
      <c r="A53" s="157" t="s">
        <v>154</v>
      </c>
      <c r="B53" s="149">
        <f t="shared" si="7"/>
        <v>0</v>
      </c>
      <c r="C53" s="149"/>
      <c r="D53" s="149"/>
      <c r="E53" s="158"/>
      <c r="F53" s="152">
        <v>250</v>
      </c>
      <c r="G53" s="152"/>
      <c r="H53" s="152">
        <v>257</v>
      </c>
      <c r="I53" s="152">
        <v>260</v>
      </c>
      <c r="J53" s="152"/>
      <c r="K53" s="152"/>
      <c r="L53" s="184" t="s">
        <v>284</v>
      </c>
      <c r="M53" s="152"/>
      <c r="N53" s="152"/>
      <c r="O53" s="152"/>
      <c r="P53" s="152"/>
      <c r="Q53" s="152"/>
      <c r="R53" s="152"/>
      <c r="S53" s="152"/>
      <c r="T53" s="152"/>
    </row>
    <row r="54" spans="1:20" s="159" customFormat="1" ht="24.75" customHeight="1" hidden="1">
      <c r="A54" s="157" t="s">
        <v>155</v>
      </c>
      <c r="B54" s="149">
        <f t="shared" si="7"/>
        <v>0</v>
      </c>
      <c r="C54" s="149"/>
      <c r="D54" s="149"/>
      <c r="E54" s="158"/>
      <c r="F54" s="152">
        <v>6180</v>
      </c>
      <c r="G54" s="152"/>
      <c r="H54" s="152">
        <v>7000</v>
      </c>
      <c r="I54" s="152">
        <v>7840</v>
      </c>
      <c r="J54" s="152"/>
      <c r="K54" s="152"/>
      <c r="L54" s="184" t="s">
        <v>284</v>
      </c>
      <c r="M54" s="152"/>
      <c r="N54" s="152"/>
      <c r="O54" s="152"/>
      <c r="P54" s="152"/>
      <c r="Q54" s="152"/>
      <c r="R54" s="152"/>
      <c r="S54" s="152"/>
      <c r="T54" s="152"/>
    </row>
    <row r="55" spans="1:20" s="159" customFormat="1" ht="12" customHeight="1" hidden="1">
      <c r="A55" s="157"/>
      <c r="B55" s="149"/>
      <c r="C55" s="149"/>
      <c r="D55" s="149"/>
      <c r="E55" s="158"/>
      <c r="F55" s="152"/>
      <c r="G55" s="152"/>
      <c r="H55" s="152"/>
      <c r="I55" s="152"/>
      <c r="J55" s="152"/>
      <c r="K55" s="152"/>
      <c r="L55" s="184" t="s">
        <v>284</v>
      </c>
      <c r="M55" s="152"/>
      <c r="N55" s="152"/>
      <c r="O55" s="152"/>
      <c r="P55" s="152"/>
      <c r="Q55" s="152"/>
      <c r="R55" s="152"/>
      <c r="S55" s="152"/>
      <c r="T55" s="152"/>
    </row>
    <row r="56" spans="1:20" s="148" customFormat="1" ht="24.75" customHeight="1" hidden="1">
      <c r="A56" s="153" t="s">
        <v>156</v>
      </c>
      <c r="B56" s="149" t="e">
        <f t="shared" si="7"/>
        <v>#REF!</v>
      </c>
      <c r="C56" s="149"/>
      <c r="D56" s="149"/>
      <c r="E56" s="154"/>
      <c r="F56" s="161">
        <v>-6992</v>
      </c>
      <c r="G56" s="161"/>
      <c r="H56" s="161">
        <v>-11435</v>
      </c>
      <c r="I56" s="161">
        <v>-10690</v>
      </c>
      <c r="J56" s="152" t="e">
        <f>+J41+J46+J49+J52</f>
        <v>#REF!</v>
      </c>
      <c r="K56" s="152" t="e">
        <f>+K41+K46+K49+K52</f>
        <v>#REF!</v>
      </c>
      <c r="L56" s="184" t="s">
        <v>284</v>
      </c>
      <c r="M56" s="152"/>
      <c r="N56" s="152" t="e">
        <f>+N41+N46+N49+N52</f>
        <v>#REF!</v>
      </c>
      <c r="O56" s="152"/>
      <c r="P56" s="152"/>
      <c r="Q56" s="152" t="e">
        <f>+Q41+Q46+Q49+Q52</f>
        <v>#REF!</v>
      </c>
      <c r="R56" s="152"/>
      <c r="S56" s="152"/>
      <c r="T56" s="152" t="e">
        <f>+T41+T46+T49+T52</f>
        <v>#REF!</v>
      </c>
    </row>
    <row r="57" spans="1:20" s="159" customFormat="1" ht="12.75" customHeight="1" hidden="1">
      <c r="A57" s="157"/>
      <c r="B57" s="149"/>
      <c r="C57" s="149"/>
      <c r="D57" s="149"/>
      <c r="E57" s="158"/>
      <c r="F57" s="152"/>
      <c r="G57" s="152"/>
      <c r="H57" s="152"/>
      <c r="I57" s="152"/>
      <c r="J57" s="152"/>
      <c r="K57" s="152"/>
      <c r="L57" s="184" t="s">
        <v>284</v>
      </c>
      <c r="M57" s="152"/>
      <c r="N57" s="152"/>
      <c r="O57" s="152"/>
      <c r="P57" s="152"/>
      <c r="Q57" s="152"/>
      <c r="R57" s="152"/>
      <c r="S57" s="152"/>
      <c r="T57" s="152"/>
    </row>
    <row r="58" spans="1:20" s="159" customFormat="1" ht="24.75" customHeight="1" hidden="1">
      <c r="A58" s="153" t="s">
        <v>157</v>
      </c>
      <c r="B58" s="149" t="e">
        <f t="shared" si="7"/>
        <v>#REF!</v>
      </c>
      <c r="C58" s="149"/>
      <c r="D58" s="149"/>
      <c r="E58" s="158"/>
      <c r="F58" s="152"/>
      <c r="G58" s="152"/>
      <c r="H58" s="152"/>
      <c r="I58" s="152"/>
      <c r="J58" s="152" t="e">
        <f>+J60+J61+J64+J69-3600</f>
        <v>#REF!</v>
      </c>
      <c r="K58" s="152" t="e">
        <f>+K60+K61+K64+K69-3600</f>
        <v>#REF!</v>
      </c>
      <c r="L58" s="184" t="s">
        <v>284</v>
      </c>
      <c r="M58" s="152"/>
      <c r="N58" s="152" t="e">
        <f>+N60+N61+N64+N69-3600</f>
        <v>#REF!</v>
      </c>
      <c r="O58" s="152"/>
      <c r="P58" s="152"/>
      <c r="Q58" s="152" t="e">
        <f>+Q60+Q61+Q64+Q69-3600</f>
        <v>#REF!</v>
      </c>
      <c r="R58" s="152"/>
      <c r="S58" s="152"/>
      <c r="T58" s="152" t="e">
        <f>+T60+T61+T64+T69-3600</f>
        <v>#REF!</v>
      </c>
    </row>
    <row r="59" spans="1:20" s="159" customFormat="1" ht="15.75" customHeight="1" hidden="1">
      <c r="A59" s="157"/>
      <c r="B59" s="149"/>
      <c r="C59" s="149"/>
      <c r="D59" s="149"/>
      <c r="E59" s="158"/>
      <c r="F59" s="152"/>
      <c r="G59" s="152"/>
      <c r="H59" s="152"/>
      <c r="I59" s="152"/>
      <c r="J59" s="152"/>
      <c r="K59" s="152"/>
      <c r="L59" s="184" t="s">
        <v>284</v>
      </c>
      <c r="M59" s="152"/>
      <c r="N59" s="152"/>
      <c r="O59" s="152"/>
      <c r="P59" s="152"/>
      <c r="Q59" s="152"/>
      <c r="R59" s="152"/>
      <c r="S59" s="152"/>
      <c r="T59" s="152"/>
    </row>
    <row r="60" spans="1:20" s="148" customFormat="1" ht="24.75" customHeight="1" hidden="1">
      <c r="A60" s="150" t="s">
        <v>158</v>
      </c>
      <c r="B60" s="152" t="e">
        <f t="shared" si="7"/>
        <v>#REF!</v>
      </c>
      <c r="C60" s="152"/>
      <c r="D60" s="152"/>
      <c r="E60" s="151"/>
      <c r="F60" s="161"/>
      <c r="G60" s="161"/>
      <c r="H60" s="161"/>
      <c r="I60" s="161"/>
      <c r="J60" s="152" t="e">
        <f>+#REF!*1000-900</f>
        <v>#REF!</v>
      </c>
      <c r="K60" s="152" t="e">
        <f>+#REF!*1000-100</f>
        <v>#REF!</v>
      </c>
      <c r="L60" s="184" t="s">
        <v>284</v>
      </c>
      <c r="M60" s="152"/>
      <c r="N60" s="152" t="e">
        <f>+#REF!*1000-1000</f>
        <v>#REF!</v>
      </c>
      <c r="O60" s="152"/>
      <c r="P60" s="152"/>
      <c r="Q60" s="152" t="e">
        <f>+#REF!*1000-1100</f>
        <v>#REF!</v>
      </c>
      <c r="R60" s="152"/>
      <c r="S60" s="152"/>
      <c r="T60" s="152" t="e">
        <f>+#REF!*1000-1200</f>
        <v>#REF!</v>
      </c>
    </row>
    <row r="61" spans="1:20" s="148" customFormat="1" ht="24.75" customHeight="1" hidden="1">
      <c r="A61" s="150" t="s">
        <v>159</v>
      </c>
      <c r="B61" s="149">
        <f t="shared" si="7"/>
        <v>13505</v>
      </c>
      <c r="C61" s="149"/>
      <c r="D61" s="149"/>
      <c r="E61" s="151"/>
      <c r="F61" s="161">
        <v>2045</v>
      </c>
      <c r="G61" s="161"/>
      <c r="H61" s="161">
        <v>964</v>
      </c>
      <c r="I61" s="161">
        <v>562</v>
      </c>
      <c r="J61" s="152">
        <v>2000</v>
      </c>
      <c r="K61" s="152">
        <v>2730</v>
      </c>
      <c r="L61" s="184" t="s">
        <v>284</v>
      </c>
      <c r="M61" s="152"/>
      <c r="N61" s="152">
        <v>2839</v>
      </c>
      <c r="O61" s="152"/>
      <c r="P61" s="152"/>
      <c r="Q61" s="152">
        <v>2924</v>
      </c>
      <c r="R61" s="152"/>
      <c r="S61" s="152"/>
      <c r="T61" s="152">
        <v>3012</v>
      </c>
    </row>
    <row r="62" spans="1:20" s="159" customFormat="1" ht="24.75" customHeight="1" hidden="1">
      <c r="A62" s="157" t="s">
        <v>160</v>
      </c>
      <c r="B62" s="149">
        <f t="shared" si="7"/>
        <v>0</v>
      </c>
      <c r="C62" s="149"/>
      <c r="D62" s="149"/>
      <c r="E62" s="158"/>
      <c r="F62" s="152">
        <v>3397</v>
      </c>
      <c r="G62" s="152"/>
      <c r="H62" s="152">
        <v>2562</v>
      </c>
      <c r="I62" s="152">
        <v>2639</v>
      </c>
      <c r="J62" s="152"/>
      <c r="K62" s="152"/>
      <c r="L62" s="184" t="s">
        <v>284</v>
      </c>
      <c r="M62" s="152"/>
      <c r="N62" s="152"/>
      <c r="O62" s="152"/>
      <c r="P62" s="152"/>
      <c r="Q62" s="152"/>
      <c r="R62" s="152"/>
      <c r="S62" s="152"/>
      <c r="T62" s="152"/>
    </row>
    <row r="63" spans="1:20" s="159" customFormat="1" ht="24.75" customHeight="1" hidden="1">
      <c r="A63" s="157" t="s">
        <v>161</v>
      </c>
      <c r="B63" s="149">
        <f t="shared" si="7"/>
        <v>0</v>
      </c>
      <c r="C63" s="149"/>
      <c r="D63" s="149"/>
      <c r="E63" s="158"/>
      <c r="F63" s="152">
        <v>1352</v>
      </c>
      <c r="G63" s="152"/>
      <c r="H63" s="152">
        <v>1598</v>
      </c>
      <c r="I63" s="152">
        <v>2077</v>
      </c>
      <c r="J63" s="152"/>
      <c r="K63" s="152"/>
      <c r="L63" s="184" t="s">
        <v>284</v>
      </c>
      <c r="M63" s="152"/>
      <c r="N63" s="152"/>
      <c r="O63" s="152"/>
      <c r="P63" s="152"/>
      <c r="Q63" s="152"/>
      <c r="R63" s="152"/>
      <c r="S63" s="152"/>
      <c r="T63" s="152"/>
    </row>
    <row r="64" spans="1:20" s="148" customFormat="1" ht="24.75" customHeight="1" hidden="1">
      <c r="A64" s="150" t="s">
        <v>162</v>
      </c>
      <c r="B64" s="149">
        <f t="shared" si="7"/>
        <v>7900</v>
      </c>
      <c r="C64" s="149"/>
      <c r="D64" s="149"/>
      <c r="E64" s="151"/>
      <c r="F64" s="161">
        <v>79</v>
      </c>
      <c r="G64" s="161"/>
      <c r="H64" s="161">
        <v>168</v>
      </c>
      <c r="I64" s="161">
        <v>-575</v>
      </c>
      <c r="J64" s="152">
        <v>800</v>
      </c>
      <c r="K64" s="152">
        <v>1700</v>
      </c>
      <c r="L64" s="184" t="s">
        <v>284</v>
      </c>
      <c r="M64" s="152"/>
      <c r="N64" s="152">
        <v>1900</v>
      </c>
      <c r="O64" s="152"/>
      <c r="P64" s="152"/>
      <c r="Q64" s="152">
        <v>1700</v>
      </c>
      <c r="R64" s="152"/>
      <c r="S64" s="152"/>
      <c r="T64" s="152">
        <v>1800</v>
      </c>
    </row>
    <row r="65" spans="1:20" s="159" customFormat="1" ht="24.75" customHeight="1" hidden="1">
      <c r="A65" s="157" t="s">
        <v>160</v>
      </c>
      <c r="B65" s="149">
        <f t="shared" si="7"/>
        <v>0</v>
      </c>
      <c r="C65" s="149"/>
      <c r="D65" s="149"/>
      <c r="E65" s="158"/>
      <c r="F65" s="152">
        <v>1404</v>
      </c>
      <c r="G65" s="152"/>
      <c r="H65" s="152">
        <v>3360</v>
      </c>
      <c r="I65" s="152">
        <v>3000</v>
      </c>
      <c r="J65" s="152"/>
      <c r="K65" s="152"/>
      <c r="L65" s="184" t="s">
        <v>284</v>
      </c>
      <c r="M65" s="152"/>
      <c r="N65" s="152"/>
      <c r="O65" s="152"/>
      <c r="P65" s="152"/>
      <c r="Q65" s="152"/>
      <c r="R65" s="152"/>
      <c r="S65" s="152"/>
      <c r="T65" s="152"/>
    </row>
    <row r="66" spans="1:20" s="159" customFormat="1" ht="24.75" customHeight="1" hidden="1">
      <c r="A66" s="157" t="s">
        <v>161</v>
      </c>
      <c r="B66" s="149">
        <f t="shared" si="7"/>
        <v>0</v>
      </c>
      <c r="C66" s="149"/>
      <c r="D66" s="149"/>
      <c r="E66" s="158"/>
      <c r="F66" s="152">
        <v>1325</v>
      </c>
      <c r="G66" s="152"/>
      <c r="H66" s="152">
        <v>3192</v>
      </c>
      <c r="I66" s="152">
        <v>3575</v>
      </c>
      <c r="J66" s="152"/>
      <c r="K66" s="152"/>
      <c r="L66" s="184" t="s">
        <v>284</v>
      </c>
      <c r="M66" s="152"/>
      <c r="N66" s="152"/>
      <c r="O66" s="152"/>
      <c r="P66" s="152"/>
      <c r="Q66" s="152"/>
      <c r="R66" s="152"/>
      <c r="S66" s="152"/>
      <c r="T66" s="152"/>
    </row>
    <row r="67" spans="1:20" s="148" customFormat="1" ht="24.75" customHeight="1" hidden="1">
      <c r="A67" s="150" t="s">
        <v>163</v>
      </c>
      <c r="B67" s="149">
        <f t="shared" si="7"/>
        <v>0</v>
      </c>
      <c r="C67" s="149"/>
      <c r="D67" s="149"/>
      <c r="E67" s="151"/>
      <c r="F67" s="161">
        <v>6243</v>
      </c>
      <c r="G67" s="161"/>
      <c r="H67" s="161">
        <v>1300</v>
      </c>
      <c r="I67" s="161">
        <v>2000</v>
      </c>
      <c r="J67" s="152"/>
      <c r="K67" s="152"/>
      <c r="L67" s="184" t="s">
        <v>284</v>
      </c>
      <c r="M67" s="152"/>
      <c r="N67" s="152"/>
      <c r="O67" s="152"/>
      <c r="P67" s="152"/>
      <c r="Q67" s="152"/>
      <c r="R67" s="152"/>
      <c r="S67" s="152"/>
      <c r="T67" s="152"/>
    </row>
    <row r="68" spans="1:20" s="148" customFormat="1" ht="24.75" customHeight="1" hidden="1">
      <c r="A68" s="150" t="s">
        <v>164</v>
      </c>
      <c r="B68" s="149">
        <f t="shared" si="7"/>
        <v>0</v>
      </c>
      <c r="C68" s="149"/>
      <c r="D68" s="149"/>
      <c r="E68" s="151"/>
      <c r="F68" s="161">
        <v>2623</v>
      </c>
      <c r="G68" s="161"/>
      <c r="H68" s="161">
        <v>4800</v>
      </c>
      <c r="I68" s="161">
        <v>2500</v>
      </c>
      <c r="J68" s="152"/>
      <c r="K68" s="152"/>
      <c r="L68" s="184" t="s">
        <v>284</v>
      </c>
      <c r="M68" s="152"/>
      <c r="N68" s="152"/>
      <c r="O68" s="152"/>
      <c r="P68" s="152"/>
      <c r="Q68" s="152"/>
      <c r="R68" s="152"/>
      <c r="S68" s="152"/>
      <c r="T68" s="152"/>
    </row>
    <row r="69" spans="1:20" s="148" customFormat="1" ht="24.75" customHeight="1" hidden="1">
      <c r="A69" s="150" t="s">
        <v>200</v>
      </c>
      <c r="B69" s="149">
        <f t="shared" si="7"/>
        <v>10400</v>
      </c>
      <c r="C69" s="149"/>
      <c r="D69" s="149"/>
      <c r="E69" s="151"/>
      <c r="F69" s="161"/>
      <c r="G69" s="161"/>
      <c r="H69" s="161"/>
      <c r="I69" s="161"/>
      <c r="J69" s="152">
        <v>1200</v>
      </c>
      <c r="K69" s="152">
        <v>2000</v>
      </c>
      <c r="L69" s="184" t="s">
        <v>284</v>
      </c>
      <c r="M69" s="152"/>
      <c r="N69" s="152">
        <v>2200</v>
      </c>
      <c r="O69" s="152"/>
      <c r="P69" s="152"/>
      <c r="Q69" s="152">
        <v>2500</v>
      </c>
      <c r="R69" s="152"/>
      <c r="S69" s="152"/>
      <c r="T69" s="152">
        <v>2500</v>
      </c>
    </row>
    <row r="70" spans="1:20" s="159" customFormat="1" ht="15.75" customHeight="1" hidden="1">
      <c r="A70" s="157"/>
      <c r="B70" s="149"/>
      <c r="C70" s="149"/>
      <c r="D70" s="149"/>
      <c r="E70" s="158"/>
      <c r="F70" s="152"/>
      <c r="G70" s="152"/>
      <c r="H70" s="152"/>
      <c r="I70" s="152"/>
      <c r="J70" s="152"/>
      <c r="K70" s="152"/>
      <c r="L70" s="184" t="s">
        <v>284</v>
      </c>
      <c r="M70" s="152"/>
      <c r="N70" s="152"/>
      <c r="O70" s="152"/>
      <c r="P70" s="152"/>
      <c r="Q70" s="152"/>
      <c r="R70" s="152"/>
      <c r="S70" s="152"/>
      <c r="T70" s="152"/>
    </row>
    <row r="71" spans="1:20" s="148" customFormat="1" ht="24.75" customHeight="1" hidden="1">
      <c r="A71" s="150" t="s">
        <v>165</v>
      </c>
      <c r="B71" s="149">
        <f t="shared" si="7"/>
        <v>-12500</v>
      </c>
      <c r="C71" s="149"/>
      <c r="D71" s="149"/>
      <c r="E71" s="151"/>
      <c r="F71" s="161">
        <v>-380</v>
      </c>
      <c r="G71" s="161"/>
      <c r="H71" s="161">
        <v>-300</v>
      </c>
      <c r="I71" s="161">
        <v>-300</v>
      </c>
      <c r="J71" s="152">
        <v>-2500</v>
      </c>
      <c r="K71" s="152">
        <v>-2500</v>
      </c>
      <c r="L71" s="184" t="s">
        <v>284</v>
      </c>
      <c r="M71" s="152"/>
      <c r="N71" s="152">
        <v>-2500</v>
      </c>
      <c r="O71" s="152"/>
      <c r="P71" s="152"/>
      <c r="Q71" s="152">
        <v>-2500</v>
      </c>
      <c r="R71" s="152"/>
      <c r="S71" s="152"/>
      <c r="T71" s="152">
        <v>-2500</v>
      </c>
    </row>
    <row r="72" spans="1:20" s="159" customFormat="1" ht="15" customHeight="1" hidden="1">
      <c r="A72" s="157"/>
      <c r="B72" s="149"/>
      <c r="C72" s="149"/>
      <c r="D72" s="149"/>
      <c r="E72" s="158"/>
      <c r="F72" s="152"/>
      <c r="G72" s="152"/>
      <c r="H72" s="152"/>
      <c r="I72" s="152"/>
      <c r="J72" s="152"/>
      <c r="K72" s="152"/>
      <c r="L72" s="184" t="s">
        <v>284</v>
      </c>
      <c r="M72" s="152"/>
      <c r="N72" s="152"/>
      <c r="O72" s="152"/>
      <c r="P72" s="152"/>
      <c r="Q72" s="152"/>
      <c r="R72" s="152"/>
      <c r="S72" s="152"/>
      <c r="T72" s="152"/>
    </row>
    <row r="73" spans="1:20" s="148" customFormat="1" ht="24.75" customHeight="1" hidden="1">
      <c r="A73" s="153" t="s">
        <v>166</v>
      </c>
      <c r="B73" s="152" t="e">
        <f t="shared" si="7"/>
        <v>#REF!</v>
      </c>
      <c r="C73" s="152"/>
      <c r="D73" s="152"/>
      <c r="E73" s="151"/>
      <c r="F73" s="161"/>
      <c r="G73" s="161"/>
      <c r="H73" s="161"/>
      <c r="I73" s="161"/>
      <c r="J73" s="152" t="e">
        <f>+J56+J58+J71</f>
        <v>#REF!</v>
      </c>
      <c r="K73" s="152" t="e">
        <f>+K56+K58+K71</f>
        <v>#REF!</v>
      </c>
      <c r="L73" s="184" t="s">
        <v>284</v>
      </c>
      <c r="M73" s="152"/>
      <c r="N73" s="152" t="e">
        <f>+N56+N58+N71</f>
        <v>#REF!</v>
      </c>
      <c r="O73" s="152"/>
      <c r="P73" s="152"/>
      <c r="Q73" s="152" t="e">
        <f>+Q56+Q58+Q71</f>
        <v>#REF!</v>
      </c>
      <c r="R73" s="152"/>
      <c r="S73" s="152"/>
      <c r="T73" s="152" t="e">
        <f>+T56+T58+T71</f>
        <v>#REF!</v>
      </c>
    </row>
    <row r="74" spans="1:20" ht="16.5" hidden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84" t="s">
        <v>284</v>
      </c>
      <c r="M74" s="162"/>
      <c r="N74" s="162"/>
      <c r="O74" s="162"/>
      <c r="P74" s="162"/>
      <c r="Q74" s="162"/>
      <c r="R74" s="162"/>
      <c r="S74" s="162"/>
      <c r="T74" s="162"/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</sheetData>
  <sheetProtection/>
  <mergeCells count="44">
    <mergeCell ref="H1:I1"/>
    <mergeCell ref="H4:T4"/>
    <mergeCell ref="A2:T2"/>
    <mergeCell ref="T5:V5"/>
    <mergeCell ref="B5:D5"/>
    <mergeCell ref="K5:M5"/>
    <mergeCell ref="N5:P5"/>
    <mergeCell ref="Q5:S5"/>
    <mergeCell ref="H3:I3"/>
    <mergeCell ref="Q12:S12"/>
    <mergeCell ref="Q15:S15"/>
    <mergeCell ref="Q18:S18"/>
    <mergeCell ref="N12:P12"/>
    <mergeCell ref="N15:P15"/>
    <mergeCell ref="K37:M37"/>
    <mergeCell ref="N37:P37"/>
    <mergeCell ref="Q37:S37"/>
    <mergeCell ref="N18:P18"/>
    <mergeCell ref="B27:D27"/>
    <mergeCell ref="T12:V12"/>
    <mergeCell ref="T15:V15"/>
    <mergeCell ref="B37:D37"/>
    <mergeCell ref="T37:V37"/>
    <mergeCell ref="B12:D12"/>
    <mergeCell ref="B15:D15"/>
    <mergeCell ref="B18:D18"/>
    <mergeCell ref="K12:M12"/>
    <mergeCell ref="K15:M15"/>
    <mergeCell ref="B30:D30"/>
    <mergeCell ref="B35:D35"/>
    <mergeCell ref="K30:M30"/>
    <mergeCell ref="K35:M35"/>
    <mergeCell ref="T18:V18"/>
    <mergeCell ref="K27:M27"/>
    <mergeCell ref="N27:P27"/>
    <mergeCell ref="Q27:S27"/>
    <mergeCell ref="T27:V27"/>
    <mergeCell ref="K18:M18"/>
    <mergeCell ref="T30:V30"/>
    <mergeCell ref="T35:V35"/>
    <mergeCell ref="N30:P30"/>
    <mergeCell ref="N35:P35"/>
    <mergeCell ref="Q30:S30"/>
    <mergeCell ref="Q35:S35"/>
  </mergeCells>
  <printOptions horizontalCentered="1"/>
  <pageMargins left="0.35433070866141736" right="0.35433070866141736" top="1.2" bottom="1.05" header="0.5118110236220472" footer="0.67"/>
  <pageSetup horizontalDpi="600" verticalDpi="600" orientation="landscape" paperSize="9" scale="88" r:id="rId3"/>
  <headerFooter alignWithMargins="0">
    <oddHeader>&amp;R&amp;P</oddHead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4:G3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2.8515625" style="0" bestFit="1" customWidth="1"/>
  </cols>
  <sheetData>
    <row r="4" spans="2:6" ht="12.75">
      <c r="B4" s="137">
        <v>2011</v>
      </c>
      <c r="C4" s="137">
        <v>2012</v>
      </c>
      <c r="D4" s="137">
        <v>2013</v>
      </c>
      <c r="E4" s="137">
        <v>2014</v>
      </c>
      <c r="F4" s="137">
        <v>2015</v>
      </c>
    </row>
    <row r="5" spans="1:6" ht="16.5">
      <c r="A5" t="s">
        <v>201</v>
      </c>
      <c r="B5" s="5">
        <v>2233.513</v>
      </c>
      <c r="C5" s="5">
        <v>2610.689</v>
      </c>
      <c r="D5" s="5">
        <v>3059.123</v>
      </c>
      <c r="E5" s="5">
        <v>3593.513</v>
      </c>
      <c r="F5" s="5">
        <v>4232.313</v>
      </c>
    </row>
    <row r="6" spans="1:6" ht="15">
      <c r="A6" t="s">
        <v>202</v>
      </c>
      <c r="B6" s="6">
        <v>2254.345</v>
      </c>
      <c r="C6" s="6">
        <v>2648.484</v>
      </c>
      <c r="D6" s="6">
        <v>3119.879</v>
      </c>
      <c r="E6" s="6">
        <v>3682.591</v>
      </c>
      <c r="F6" s="6">
        <v>4355.599</v>
      </c>
    </row>
    <row r="8" spans="1:7" s="138" customFormat="1" ht="12.75">
      <c r="A8" s="138" t="s">
        <v>198</v>
      </c>
      <c r="B8" s="139">
        <v>455.19</v>
      </c>
      <c r="C8" s="139">
        <v>518.222</v>
      </c>
      <c r="D8" s="139">
        <v>590.105</v>
      </c>
      <c r="E8" s="139">
        <v>671.628</v>
      </c>
      <c r="F8" s="139">
        <v>763.932</v>
      </c>
      <c r="G8" s="139"/>
    </row>
    <row r="9" spans="1:7" ht="12.75">
      <c r="A9" t="s">
        <v>203</v>
      </c>
      <c r="B9" s="140">
        <v>459.436</v>
      </c>
      <c r="C9" s="140">
        <v>525.796</v>
      </c>
      <c r="D9" s="140">
        <v>601.825</v>
      </c>
      <c r="E9" s="140">
        <v>688.276</v>
      </c>
      <c r="F9" s="140">
        <v>786.186</v>
      </c>
      <c r="G9" s="140"/>
    </row>
    <row r="10" spans="1:7" s="138" customFormat="1" ht="12.75">
      <c r="A10" s="138" t="s">
        <v>199</v>
      </c>
      <c r="B10" s="139">
        <v>903.68</v>
      </c>
      <c r="C10" s="139">
        <v>1059.679</v>
      </c>
      <c r="D10" s="139">
        <v>1245.981</v>
      </c>
      <c r="E10" s="139">
        <v>1468.669</v>
      </c>
      <c r="F10" s="139">
        <v>1736.095</v>
      </c>
      <c r="G10" s="139"/>
    </row>
    <row r="11" spans="1:7" ht="12.75">
      <c r="A11" t="s">
        <v>204</v>
      </c>
      <c r="B11" s="140">
        <v>912.108</v>
      </c>
      <c r="C11" s="140">
        <v>1075.167</v>
      </c>
      <c r="D11" s="140">
        <v>1270.727</v>
      </c>
      <c r="E11" s="140">
        <v>1505.075</v>
      </c>
      <c r="F11" s="140">
        <v>1786.667</v>
      </c>
      <c r="G11" s="140"/>
    </row>
    <row r="12" spans="1:7" s="138" customFormat="1" ht="12.75">
      <c r="A12" s="138" t="s">
        <v>205</v>
      </c>
      <c r="B12" s="139">
        <v>874.644</v>
      </c>
      <c r="C12" s="139">
        <v>1032.789</v>
      </c>
      <c r="D12" s="139">
        <v>1223.037</v>
      </c>
      <c r="E12" s="139">
        <v>1453.217</v>
      </c>
      <c r="F12" s="139">
        <v>1732</v>
      </c>
      <c r="G12" s="139"/>
    </row>
    <row r="13" spans="1:7" ht="12.75">
      <c r="A13" t="s">
        <v>206</v>
      </c>
      <c r="B13" s="140">
        <v>882.802</v>
      </c>
      <c r="C13" s="140">
        <v>1047.884</v>
      </c>
      <c r="D13" s="140">
        <v>1247.328</v>
      </c>
      <c r="E13" s="140">
        <v>1489.24</v>
      </c>
      <c r="F13" s="140" t="e">
        <f>F6*#REF!/100</f>
        <v>#REF!</v>
      </c>
      <c r="G13" s="140"/>
    </row>
    <row r="14" spans="2:7" ht="12.75">
      <c r="B14" s="140"/>
      <c r="C14" s="140"/>
      <c r="D14" s="140"/>
      <c r="E14" s="140"/>
      <c r="F14" s="140"/>
      <c r="G14" s="140"/>
    </row>
    <row r="15" spans="2:7" ht="12.75">
      <c r="B15" s="140"/>
      <c r="C15" s="140"/>
      <c r="D15" s="140"/>
      <c r="E15" s="140"/>
      <c r="F15" s="140"/>
      <c r="G15" s="140"/>
    </row>
    <row r="16" spans="1:7" ht="12.75">
      <c r="A16" t="s">
        <v>207</v>
      </c>
      <c r="B16" s="140" t="s">
        <v>210</v>
      </c>
      <c r="C16" s="140"/>
      <c r="D16" s="140"/>
      <c r="E16" s="140"/>
      <c r="F16" s="140" t="s">
        <v>208</v>
      </c>
      <c r="G16" s="140" t="s">
        <v>209</v>
      </c>
    </row>
    <row r="17" spans="1:7" ht="12.75">
      <c r="A17" s="138" t="s">
        <v>195</v>
      </c>
      <c r="B17" s="140" t="e">
        <f>#REF!*#REF!/100</f>
        <v>#REF!</v>
      </c>
      <c r="C17" s="140" t="e">
        <f>#REF!*#REF!/100</f>
        <v>#REF!</v>
      </c>
      <c r="D17" s="140" t="e">
        <f>#REF!*#REF!/100</f>
        <v>#REF!</v>
      </c>
      <c r="E17" s="140" t="e">
        <f>#REF!*#REF!/100</f>
        <v>#REF!</v>
      </c>
      <c r="F17" s="140" t="e">
        <f>#REF!*40/100</f>
        <v>#REF!</v>
      </c>
      <c r="G17" s="140" t="e">
        <f>#REF!*41/100</f>
        <v>#REF!</v>
      </c>
    </row>
    <row r="18" spans="1:7" ht="12.75">
      <c r="A18" t="s">
        <v>196</v>
      </c>
      <c r="B18" s="140" t="e">
        <f>#REF!*#REF!/100</f>
        <v>#REF!</v>
      </c>
      <c r="C18" s="140" t="e">
        <f>#REF!*#REF!/100</f>
        <v>#REF!</v>
      </c>
      <c r="D18" s="140" t="e">
        <f>#REF!*#REF!/100</f>
        <v>#REF!</v>
      </c>
      <c r="E18" s="140" t="e">
        <f>#REF!*#REF!/100</f>
        <v>#REF!</v>
      </c>
      <c r="F18" s="140" t="e">
        <f>#REF!*28/100</f>
        <v>#REF!</v>
      </c>
      <c r="G18" s="140" t="e">
        <f>#REF!*29/100</f>
        <v>#REF!</v>
      </c>
    </row>
    <row r="19" spans="1:7" ht="12.75">
      <c r="A19" s="138" t="s">
        <v>197</v>
      </c>
      <c r="B19" s="140" t="e">
        <f>#REF!*#REF!/100</f>
        <v>#REF!</v>
      </c>
      <c r="C19" s="140" t="e">
        <f>#REF!*#REF!/100</f>
        <v>#REF!</v>
      </c>
      <c r="D19" s="140" t="e">
        <f>#REF!*#REF!/100</f>
        <v>#REF!</v>
      </c>
      <c r="E19" s="140" t="e">
        <f>#REF!*#REF!/100</f>
        <v>#REF!</v>
      </c>
      <c r="F19" s="140" t="e">
        <f>#REF!*30/100</f>
        <v>#REF!</v>
      </c>
      <c r="G19" s="140" t="e">
        <f>#REF!*31/100</f>
        <v>#REF!</v>
      </c>
    </row>
    <row r="21" spans="1:7" ht="12.75">
      <c r="A21" s="138"/>
      <c r="B21" s="140" t="e">
        <f aca="true" t="shared" si="0" ref="B21:G21">SUM(B17:B19)</f>
        <v>#REF!</v>
      </c>
      <c r="C21" s="140" t="e">
        <f t="shared" si="0"/>
        <v>#REF!</v>
      </c>
      <c r="D21" s="140" t="e">
        <f t="shared" si="0"/>
        <v>#REF!</v>
      </c>
      <c r="E21" s="140" t="e">
        <f t="shared" si="0"/>
        <v>#REF!</v>
      </c>
      <c r="F21" s="140" t="e">
        <f t="shared" si="0"/>
        <v>#REF!</v>
      </c>
      <c r="G21" s="140" t="e">
        <f t="shared" si="0"/>
        <v>#REF!</v>
      </c>
    </row>
    <row r="23" ht="12.75">
      <c r="A23" t="s">
        <v>211</v>
      </c>
    </row>
    <row r="24" spans="1:6" ht="12.75">
      <c r="A24" t="s">
        <v>212</v>
      </c>
      <c r="B24" t="e">
        <f>B5/B21</f>
        <v>#REF!</v>
      </c>
      <c r="C24" t="e">
        <f>C5/C21</f>
        <v>#REF!</v>
      </c>
      <c r="D24" t="e">
        <f>D5/D21</f>
        <v>#REF!</v>
      </c>
      <c r="E24" t="e">
        <f>E5/E21</f>
        <v>#REF!</v>
      </c>
      <c r="F24" t="e">
        <f>F5/F21</f>
        <v>#REF!</v>
      </c>
    </row>
    <row r="25" spans="1:6" ht="12.75">
      <c r="A25" t="s">
        <v>212</v>
      </c>
      <c r="B25" t="e">
        <f>B6/B21</f>
        <v>#REF!</v>
      </c>
      <c r="C25" t="e">
        <f>C6/C21</f>
        <v>#REF!</v>
      </c>
      <c r="D25" t="e">
        <f>D6/D21</f>
        <v>#REF!</v>
      </c>
      <c r="E25" t="e">
        <f>E6/E21</f>
        <v>#REF!</v>
      </c>
      <c r="F25" t="e">
        <f>F6/F21</f>
        <v>#REF!</v>
      </c>
    </row>
    <row r="27" spans="1:7" ht="12.75">
      <c r="A27" s="138" t="s">
        <v>198</v>
      </c>
      <c r="B27" s="140" t="e">
        <f>B8/B17</f>
        <v>#REF!</v>
      </c>
      <c r="C27" s="140" t="e">
        <f>C8/C17</f>
        <v>#REF!</v>
      </c>
      <c r="D27" s="140" t="e">
        <f>D8/D17</f>
        <v>#REF!</v>
      </c>
      <c r="E27" s="140" t="e">
        <f>E8/E17</f>
        <v>#REF!</v>
      </c>
      <c r="F27" s="140" t="e">
        <f>$F$8/F17</f>
        <v>#REF!</v>
      </c>
      <c r="G27" s="140" t="e">
        <f>$F$8/G17</f>
        <v>#REF!</v>
      </c>
    </row>
    <row r="28" spans="1:7" ht="12.75">
      <c r="A28" t="s">
        <v>203</v>
      </c>
      <c r="B28" s="140" t="e">
        <f aca="true" t="shared" si="1" ref="B28:E29">B9/B17</f>
        <v>#REF!</v>
      </c>
      <c r="C28" s="140" t="e">
        <f t="shared" si="1"/>
        <v>#REF!</v>
      </c>
      <c r="D28" s="140" t="e">
        <f t="shared" si="1"/>
        <v>#REF!</v>
      </c>
      <c r="E28" s="140" t="e">
        <f t="shared" si="1"/>
        <v>#REF!</v>
      </c>
      <c r="F28" s="140" t="e">
        <f>$F$9/F17</f>
        <v>#REF!</v>
      </c>
      <c r="G28" s="140" t="e">
        <f>$F$9/G17</f>
        <v>#REF!</v>
      </c>
    </row>
    <row r="29" spans="1:7" ht="12.75">
      <c r="A29" s="138" t="s">
        <v>199</v>
      </c>
      <c r="B29" s="140" t="e">
        <f t="shared" si="1"/>
        <v>#REF!</v>
      </c>
      <c r="C29" s="140" t="e">
        <f t="shared" si="1"/>
        <v>#REF!</v>
      </c>
      <c r="D29" s="140" t="e">
        <f t="shared" si="1"/>
        <v>#REF!</v>
      </c>
      <c r="E29" s="140" t="e">
        <f t="shared" si="1"/>
        <v>#REF!</v>
      </c>
      <c r="F29" s="140" t="e">
        <f>$F$10/F18</f>
        <v>#REF!</v>
      </c>
      <c r="G29" s="140" t="e">
        <f>$F$10/G18</f>
        <v>#REF!</v>
      </c>
    </row>
    <row r="30" spans="1:7" ht="12.75">
      <c r="A30" t="s">
        <v>204</v>
      </c>
      <c r="B30" s="140" t="e">
        <f aca="true" t="shared" si="2" ref="B30:E31">B11/B18</f>
        <v>#REF!</v>
      </c>
      <c r="C30" s="140" t="e">
        <f t="shared" si="2"/>
        <v>#REF!</v>
      </c>
      <c r="D30" s="140" t="e">
        <f t="shared" si="2"/>
        <v>#REF!</v>
      </c>
      <c r="E30" s="140" t="e">
        <f t="shared" si="2"/>
        <v>#REF!</v>
      </c>
      <c r="F30" s="140" t="e">
        <f>$F$11/F18</f>
        <v>#REF!</v>
      </c>
      <c r="G30" s="140" t="e">
        <f>$F$11/G18</f>
        <v>#REF!</v>
      </c>
    </row>
    <row r="31" spans="1:7" ht="12.75">
      <c r="A31" s="138" t="s">
        <v>205</v>
      </c>
      <c r="B31" s="140" t="e">
        <f t="shared" si="2"/>
        <v>#REF!</v>
      </c>
      <c r="C31" s="140" t="e">
        <f t="shared" si="2"/>
        <v>#REF!</v>
      </c>
      <c r="D31" s="140" t="e">
        <f t="shared" si="2"/>
        <v>#REF!</v>
      </c>
      <c r="E31" s="140" t="e">
        <f t="shared" si="2"/>
        <v>#REF!</v>
      </c>
      <c r="F31" s="140" t="e">
        <f>$F$12/F19</f>
        <v>#REF!</v>
      </c>
      <c r="G31" s="140" t="e">
        <f>$F$12/G19</f>
        <v>#REF!</v>
      </c>
    </row>
    <row r="32" spans="1:7" ht="12.75">
      <c r="A32" t="s">
        <v>206</v>
      </c>
      <c r="B32" s="140" t="e">
        <f>B13/B19</f>
        <v>#REF!</v>
      </c>
      <c r="C32" s="140" t="e">
        <f>C13/C19</f>
        <v>#REF!</v>
      </c>
      <c r="D32" s="140" t="e">
        <f>D13/D19</f>
        <v>#REF!</v>
      </c>
      <c r="E32" s="140" t="e">
        <f>E13/E19</f>
        <v>#REF!</v>
      </c>
      <c r="F32" s="140" t="e">
        <f>$F$13/F19</f>
        <v>#REF!</v>
      </c>
      <c r="G32" s="140" t="e">
        <f>$F$13/G19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38" useFirstPageNumber="1" horizontalDpi="600" verticalDpi="600" orientation="landscape" paperSize="9" r:id="rId1"/>
  <headerFooter alignWithMargins="0"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140625" style="4" customWidth="1"/>
    <col min="2" max="2" width="36.57421875" style="2" customWidth="1"/>
    <col min="3" max="3" width="15.8515625" style="3" customWidth="1"/>
    <col min="4" max="4" width="12.8515625" style="1" customWidth="1"/>
    <col min="5" max="5" width="10.140625" style="1" hidden="1" customWidth="1"/>
    <col min="6" max="10" width="10.140625" style="1" customWidth="1"/>
    <col min="11" max="11" width="12.421875" style="1" customWidth="1"/>
    <col min="12" max="16384" width="9.140625" style="1" customWidth="1"/>
  </cols>
  <sheetData>
    <row r="1" ht="30" customHeight="1">
      <c r="K1" s="7" t="s">
        <v>105</v>
      </c>
    </row>
    <row r="2" spans="1:11" ht="18" customHeight="1">
      <c r="A2" s="1284" t="s">
        <v>132</v>
      </c>
      <c r="B2" s="1284"/>
      <c r="C2" s="1284"/>
      <c r="D2" s="1284"/>
      <c r="E2" s="1284"/>
      <c r="F2" s="1284"/>
      <c r="G2" s="1284"/>
      <c r="H2" s="1284"/>
      <c r="I2" s="1284"/>
      <c r="J2" s="1284"/>
      <c r="K2" s="1284"/>
    </row>
    <row r="3" ht="15" customHeight="1"/>
    <row r="4" spans="1:11" s="125" customFormat="1" ht="22.5" customHeight="1">
      <c r="A4" s="1285" t="s">
        <v>0</v>
      </c>
      <c r="B4" s="1285" t="s">
        <v>1</v>
      </c>
      <c r="C4" s="1285" t="s">
        <v>2</v>
      </c>
      <c r="D4" s="1285" t="s">
        <v>131</v>
      </c>
      <c r="E4" s="1285" t="s">
        <v>93</v>
      </c>
      <c r="F4" s="1285">
        <v>2011</v>
      </c>
      <c r="G4" s="1285">
        <v>2012</v>
      </c>
      <c r="H4" s="1287">
        <v>2013</v>
      </c>
      <c r="I4" s="1285">
        <v>2014</v>
      </c>
      <c r="J4" s="1285">
        <v>2015</v>
      </c>
      <c r="K4" s="1285" t="s">
        <v>94</v>
      </c>
    </row>
    <row r="5" spans="1:11" s="125" customFormat="1" ht="21" customHeight="1">
      <c r="A5" s="1286"/>
      <c r="B5" s="1286"/>
      <c r="C5" s="1286"/>
      <c r="D5" s="1286"/>
      <c r="E5" s="1286"/>
      <c r="F5" s="1286"/>
      <c r="G5" s="1286"/>
      <c r="H5" s="1288"/>
      <c r="I5" s="1286"/>
      <c r="J5" s="1286"/>
      <c r="K5" s="1286"/>
    </row>
    <row r="6" spans="1:11" ht="19.5" customHeight="1">
      <c r="A6" s="29"/>
      <c r="B6" s="32"/>
      <c r="C6" s="126"/>
      <c r="D6" s="18"/>
      <c r="E6" s="18"/>
      <c r="F6" s="18"/>
      <c r="G6" s="18"/>
      <c r="H6" s="18"/>
      <c r="I6" s="122"/>
      <c r="J6" s="122"/>
      <c r="K6" s="20"/>
    </row>
    <row r="7" spans="1:11" s="21" customFormat="1" ht="33.75" customHeight="1">
      <c r="A7" s="15" t="s">
        <v>101</v>
      </c>
      <c r="B7" s="16" t="s">
        <v>119</v>
      </c>
      <c r="C7" s="30" t="s">
        <v>16</v>
      </c>
      <c r="E7" s="69">
        <f>E10+E13</f>
        <v>714.052</v>
      </c>
      <c r="F7" s="69"/>
      <c r="G7" s="69"/>
      <c r="H7" s="102"/>
      <c r="I7" s="102"/>
      <c r="J7" s="102"/>
      <c r="K7" s="8"/>
    </row>
    <row r="8" spans="1:12" s="92" customFormat="1" ht="33.75" customHeight="1">
      <c r="A8" s="87"/>
      <c r="B8" s="83" t="s">
        <v>17</v>
      </c>
      <c r="C8" s="30" t="s">
        <v>5</v>
      </c>
      <c r="D8" s="84"/>
      <c r="E8" s="91"/>
      <c r="F8" s="93"/>
      <c r="G8" s="93"/>
      <c r="H8" s="106"/>
      <c r="I8" s="106"/>
      <c r="J8" s="106"/>
      <c r="K8" s="87"/>
      <c r="L8" s="121"/>
    </row>
    <row r="9" spans="1:11" s="92" customFormat="1" ht="33.75" customHeight="1">
      <c r="A9" s="87"/>
      <c r="B9" s="83" t="s">
        <v>117</v>
      </c>
      <c r="C9" s="30" t="s">
        <v>5</v>
      </c>
      <c r="D9" s="84"/>
      <c r="E9" s="91">
        <f>E7/E31*100</f>
        <v>85.08722592945662</v>
      </c>
      <c r="F9" s="91"/>
      <c r="G9" s="91"/>
      <c r="H9" s="104"/>
      <c r="I9" s="104"/>
      <c r="J9" s="104"/>
      <c r="K9" s="87"/>
    </row>
    <row r="10" spans="1:11" s="9" customFormat="1" ht="33.75" customHeight="1">
      <c r="A10" s="15" t="s">
        <v>102</v>
      </c>
      <c r="B10" s="16" t="s">
        <v>118</v>
      </c>
      <c r="C10" s="30" t="s">
        <v>16</v>
      </c>
      <c r="E10" s="69">
        <v>152.571</v>
      </c>
      <c r="F10" s="69"/>
      <c r="G10" s="69"/>
      <c r="H10" s="114"/>
      <c r="I10" s="114"/>
      <c r="J10" s="114"/>
      <c r="K10" s="15"/>
    </row>
    <row r="11" spans="1:11" s="88" customFormat="1" ht="33.75" customHeight="1">
      <c r="A11" s="82"/>
      <c r="B11" s="90" t="s">
        <v>123</v>
      </c>
      <c r="C11" s="30" t="s">
        <v>5</v>
      </c>
      <c r="D11" s="84"/>
      <c r="E11" s="85"/>
      <c r="F11" s="86"/>
      <c r="G11" s="86"/>
      <c r="H11" s="103"/>
      <c r="I11" s="103"/>
      <c r="J11" s="103"/>
      <c r="K11" s="87"/>
    </row>
    <row r="12" spans="1:11" s="88" customFormat="1" ht="33.75" customHeight="1">
      <c r="A12" s="82"/>
      <c r="B12" s="90" t="s">
        <v>109</v>
      </c>
      <c r="C12" s="30" t="s">
        <v>5</v>
      </c>
      <c r="D12" s="84"/>
      <c r="E12" s="93">
        <f>E10/E7*100</f>
        <v>21.36693125990824</v>
      </c>
      <c r="F12" s="93"/>
      <c r="G12" s="93"/>
      <c r="H12" s="103"/>
      <c r="I12" s="103"/>
      <c r="J12" s="103"/>
      <c r="K12" s="87"/>
    </row>
    <row r="13" spans="1:11" s="21" customFormat="1" ht="33.75" customHeight="1">
      <c r="A13" s="15" t="s">
        <v>115</v>
      </c>
      <c r="B13" s="16" t="s">
        <v>106</v>
      </c>
      <c r="C13" s="30" t="s">
        <v>16</v>
      </c>
      <c r="E13" s="69">
        <f>E17+E19</f>
        <v>561.481</v>
      </c>
      <c r="F13" s="69"/>
      <c r="G13" s="69"/>
      <c r="H13" s="105"/>
      <c r="I13" s="105"/>
      <c r="J13" s="105"/>
      <c r="K13" s="8"/>
    </row>
    <row r="14" spans="1:11" s="92" customFormat="1" ht="28.5" customHeight="1">
      <c r="A14" s="87"/>
      <c r="B14" s="90" t="s">
        <v>123</v>
      </c>
      <c r="C14" s="30" t="s">
        <v>5</v>
      </c>
      <c r="D14" s="84"/>
      <c r="E14" s="91"/>
      <c r="F14" s="86"/>
      <c r="G14" s="86"/>
      <c r="H14" s="106"/>
      <c r="I14" s="106"/>
      <c r="J14" s="106"/>
      <c r="K14" s="87"/>
    </row>
    <row r="15" spans="1:11" s="92" customFormat="1" ht="27.75" customHeight="1">
      <c r="A15" s="87"/>
      <c r="B15" s="90" t="s">
        <v>114</v>
      </c>
      <c r="C15" s="30" t="s">
        <v>5</v>
      </c>
      <c r="D15" s="84"/>
      <c r="E15" s="91">
        <f>E10/E31*100</f>
        <v>18.180529075309817</v>
      </c>
      <c r="F15" s="91"/>
      <c r="G15" s="91"/>
      <c r="H15" s="104"/>
      <c r="I15" s="104"/>
      <c r="J15" s="104"/>
      <c r="K15" s="87"/>
    </row>
    <row r="16" spans="1:11" s="21" customFormat="1" ht="25.5" customHeight="1">
      <c r="A16" s="8"/>
      <c r="B16" s="12" t="s">
        <v>6</v>
      </c>
      <c r="C16" s="30"/>
      <c r="D16" s="19"/>
      <c r="E16" s="69"/>
      <c r="F16" s="69"/>
      <c r="G16" s="69"/>
      <c r="H16" s="101"/>
      <c r="I16" s="101"/>
      <c r="J16" s="101"/>
      <c r="K16" s="8"/>
    </row>
    <row r="17" spans="1:11" s="33" customFormat="1" ht="26.25" customHeight="1">
      <c r="A17" s="55"/>
      <c r="B17" s="94" t="s">
        <v>107</v>
      </c>
      <c r="C17" s="30" t="s">
        <v>16</v>
      </c>
      <c r="D17" s="72"/>
      <c r="E17" s="69">
        <v>402.301</v>
      </c>
      <c r="F17" s="69"/>
      <c r="G17" s="69"/>
      <c r="H17" s="107"/>
      <c r="I17" s="107"/>
      <c r="J17" s="107"/>
      <c r="K17" s="55"/>
    </row>
    <row r="18" spans="1:11" s="33" customFormat="1" ht="26.25" customHeight="1">
      <c r="A18" s="55"/>
      <c r="B18" s="95" t="s">
        <v>17</v>
      </c>
      <c r="C18" s="115" t="s">
        <v>5</v>
      </c>
      <c r="D18" s="28"/>
      <c r="E18" s="69"/>
      <c r="F18" s="31"/>
      <c r="G18" s="31"/>
      <c r="H18" s="108"/>
      <c r="I18" s="108"/>
      <c r="J18" s="108"/>
      <c r="K18" s="11"/>
    </row>
    <row r="19" spans="1:11" s="33" customFormat="1" ht="25.5" customHeight="1">
      <c r="A19" s="55"/>
      <c r="B19" s="94" t="s">
        <v>108</v>
      </c>
      <c r="C19" s="30" t="s">
        <v>16</v>
      </c>
      <c r="D19" s="72"/>
      <c r="E19" s="69">
        <v>159.18</v>
      </c>
      <c r="F19" s="69"/>
      <c r="G19" s="69"/>
      <c r="H19" s="107"/>
      <c r="I19" s="107"/>
      <c r="J19" s="107"/>
      <c r="K19" s="55"/>
    </row>
    <row r="20" spans="1:11" s="33" customFormat="1" ht="24.75" customHeight="1">
      <c r="A20" s="55"/>
      <c r="B20" s="95" t="s">
        <v>17</v>
      </c>
      <c r="C20" s="115" t="s">
        <v>5</v>
      </c>
      <c r="D20" s="28"/>
      <c r="E20" s="69"/>
      <c r="F20" s="31"/>
      <c r="G20" s="31"/>
      <c r="H20" s="108"/>
      <c r="I20" s="108"/>
      <c r="J20" s="108"/>
      <c r="K20" s="11"/>
    </row>
    <row r="21" spans="1:11" s="33" customFormat="1" ht="19.5" customHeight="1">
      <c r="A21" s="55"/>
      <c r="B21" s="95"/>
      <c r="C21" s="115"/>
      <c r="D21" s="28"/>
      <c r="E21" s="69"/>
      <c r="F21" s="31"/>
      <c r="G21" s="31"/>
      <c r="H21" s="109"/>
      <c r="I21" s="109"/>
      <c r="J21" s="109"/>
      <c r="K21" s="11"/>
    </row>
    <row r="22" spans="1:11" s="21" customFormat="1" ht="33.75" customHeight="1">
      <c r="A22" s="15" t="s">
        <v>116</v>
      </c>
      <c r="B22" s="16" t="s">
        <v>110</v>
      </c>
      <c r="C22" s="30" t="s">
        <v>16</v>
      </c>
      <c r="D22" s="28"/>
      <c r="E22" s="69">
        <f>E25+E28</f>
        <v>556.0989999999999</v>
      </c>
      <c r="F22" s="69"/>
      <c r="G22" s="69"/>
      <c r="H22" s="105"/>
      <c r="I22" s="105"/>
      <c r="J22" s="105"/>
      <c r="K22" s="8"/>
    </row>
    <row r="23" spans="1:11" s="21" customFormat="1" ht="33.75" customHeight="1">
      <c r="A23" s="8"/>
      <c r="B23" s="83" t="s">
        <v>17</v>
      </c>
      <c r="C23" s="30" t="s">
        <v>5</v>
      </c>
      <c r="D23" s="27"/>
      <c r="E23" s="71"/>
      <c r="F23" s="17"/>
      <c r="G23" s="17"/>
      <c r="H23" s="110"/>
      <c r="I23" s="110"/>
      <c r="J23" s="110"/>
      <c r="K23" s="8"/>
    </row>
    <row r="24" spans="1:11" s="21" customFormat="1" ht="33.75" customHeight="1">
      <c r="A24" s="8"/>
      <c r="B24" s="12" t="s">
        <v>6</v>
      </c>
      <c r="C24" s="30"/>
      <c r="D24" s="19"/>
      <c r="E24" s="96"/>
      <c r="F24" s="96"/>
      <c r="G24" s="96"/>
      <c r="H24" s="101"/>
      <c r="I24" s="101"/>
      <c r="J24" s="101"/>
      <c r="K24" s="8"/>
    </row>
    <row r="25" spans="1:11" s="21" customFormat="1" ht="33.75" customHeight="1">
      <c r="A25" s="8"/>
      <c r="B25" s="26" t="s">
        <v>111</v>
      </c>
      <c r="C25" s="30" t="s">
        <v>16</v>
      </c>
      <c r="D25" s="19"/>
      <c r="E25" s="22">
        <v>421.654</v>
      </c>
      <c r="F25" s="22"/>
      <c r="G25" s="22"/>
      <c r="H25" s="101"/>
      <c r="I25" s="101"/>
      <c r="J25" s="101"/>
      <c r="K25" s="8"/>
    </row>
    <row r="26" spans="1:11" s="21" customFormat="1" ht="33.75" customHeight="1">
      <c r="A26" s="8"/>
      <c r="B26" s="89" t="s">
        <v>120</v>
      </c>
      <c r="C26" s="30" t="s">
        <v>5</v>
      </c>
      <c r="D26" s="19"/>
      <c r="E26" s="22"/>
      <c r="F26" s="31"/>
      <c r="G26" s="31"/>
      <c r="H26" s="108"/>
      <c r="I26" s="108"/>
      <c r="J26" s="108"/>
      <c r="K26" s="8"/>
    </row>
    <row r="27" spans="1:11" s="25" customFormat="1" ht="33.75" customHeight="1">
      <c r="A27" s="23"/>
      <c r="B27" s="74" t="s">
        <v>121</v>
      </c>
      <c r="C27" s="30" t="s">
        <v>5</v>
      </c>
      <c r="D27" s="24"/>
      <c r="E27" s="17">
        <f>+E25/E22*100</f>
        <v>75.82354940397305</v>
      </c>
      <c r="F27" s="17"/>
      <c r="G27" s="17"/>
      <c r="H27" s="110"/>
      <c r="I27" s="110"/>
      <c r="J27" s="110"/>
      <c r="K27" s="23"/>
    </row>
    <row r="28" spans="1:12" s="21" customFormat="1" ht="33.75" customHeight="1">
      <c r="A28" s="8"/>
      <c r="B28" s="26" t="s">
        <v>112</v>
      </c>
      <c r="C28" s="30" t="s">
        <v>16</v>
      </c>
      <c r="D28" s="19"/>
      <c r="E28" s="73">
        <v>134.445</v>
      </c>
      <c r="F28" s="73"/>
      <c r="G28" s="73"/>
      <c r="H28" s="111"/>
      <c r="I28" s="111"/>
      <c r="J28" s="111"/>
      <c r="K28" s="8"/>
      <c r="L28" s="120"/>
    </row>
    <row r="29" spans="1:11" s="14" customFormat="1" ht="33.75" customHeight="1">
      <c r="A29" s="11"/>
      <c r="B29" s="89" t="s">
        <v>120</v>
      </c>
      <c r="C29" s="115" t="s">
        <v>5</v>
      </c>
      <c r="D29" s="28"/>
      <c r="E29" s="99"/>
      <c r="F29" s="31"/>
      <c r="G29" s="31"/>
      <c r="H29" s="109"/>
      <c r="I29" s="109"/>
      <c r="J29" s="109"/>
      <c r="K29" s="11"/>
    </row>
    <row r="30" spans="1:11" s="14" customFormat="1" ht="33.75" customHeight="1">
      <c r="A30" s="97"/>
      <c r="B30" s="75" t="s">
        <v>122</v>
      </c>
      <c r="C30" s="115" t="s">
        <v>5</v>
      </c>
      <c r="D30" s="28"/>
      <c r="E30" s="13">
        <f>+E28/E22*100</f>
        <v>24.176450596026967</v>
      </c>
      <c r="F30" s="13"/>
      <c r="G30" s="13"/>
      <c r="H30" s="112"/>
      <c r="I30" s="112"/>
      <c r="J30" s="112"/>
      <c r="K30" s="98"/>
    </row>
    <row r="31" spans="1:11" s="25" customFormat="1" ht="33.75" customHeight="1" hidden="1">
      <c r="A31" s="76" t="s">
        <v>18</v>
      </c>
      <c r="B31" s="77" t="s">
        <v>113</v>
      </c>
      <c r="C31" s="10" t="s">
        <v>16</v>
      </c>
      <c r="D31" s="78"/>
      <c r="E31" s="70">
        <v>839.2</v>
      </c>
      <c r="F31" s="70">
        <v>974.3</v>
      </c>
      <c r="G31" s="79">
        <v>1144</v>
      </c>
      <c r="H31" s="78">
        <v>1490</v>
      </c>
      <c r="I31" s="123"/>
      <c r="J31" s="123"/>
      <c r="K31" s="63"/>
    </row>
    <row r="32" spans="1:11" s="21" customFormat="1" ht="19.5" customHeight="1">
      <c r="A32" s="36"/>
      <c r="B32" s="35"/>
      <c r="C32" s="127"/>
      <c r="D32" s="37"/>
      <c r="E32" s="80"/>
      <c r="F32" s="37"/>
      <c r="G32" s="37"/>
      <c r="H32" s="113"/>
      <c r="I32" s="113"/>
      <c r="J32" s="113"/>
      <c r="K32" s="34"/>
    </row>
    <row r="34" spans="4:10" ht="15">
      <c r="D34" s="62"/>
      <c r="H34" s="81"/>
      <c r="I34" s="81"/>
      <c r="J34" s="81"/>
    </row>
    <row r="35" spans="8:10" ht="15">
      <c r="H35" s="81"/>
      <c r="I35" s="81"/>
      <c r="J35" s="81"/>
    </row>
  </sheetData>
  <sheetProtection/>
  <mergeCells count="12">
    <mergeCell ref="H4:H5"/>
    <mergeCell ref="I4:I5"/>
    <mergeCell ref="A2:K2"/>
    <mergeCell ref="A4:A5"/>
    <mergeCell ref="B4:B5"/>
    <mergeCell ref="C4:C5"/>
    <mergeCell ref="D4:D5"/>
    <mergeCell ref="E4:E5"/>
    <mergeCell ref="K4:K5"/>
    <mergeCell ref="J4:J5"/>
    <mergeCell ref="F4:F5"/>
    <mergeCell ref="G4:G5"/>
  </mergeCells>
  <printOptions/>
  <pageMargins left="0.71" right="0.66" top="0.73" bottom="0.93" header="0.5" footer="0.5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4:S16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00390625" style="0" customWidth="1"/>
    <col min="4" max="4" width="7.8515625" style="0" customWidth="1"/>
    <col min="5" max="5" width="8.57421875" style="0" customWidth="1"/>
    <col min="6" max="7" width="7.140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9.8515625" style="0" customWidth="1"/>
    <col min="17" max="17" width="7.421875" style="0" customWidth="1"/>
  </cols>
  <sheetData>
    <row r="4" spans="1:18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5" t="s">
        <v>173</v>
      </c>
    </row>
    <row r="5" spans="1:17" ht="12.75">
      <c r="A5" s="128"/>
      <c r="B5" s="128">
        <v>2010</v>
      </c>
      <c r="C5" s="1289">
        <v>2011</v>
      </c>
      <c r="D5" s="1289"/>
      <c r="E5" s="1289"/>
      <c r="F5" s="1289">
        <v>2012</v>
      </c>
      <c r="G5" s="1289"/>
      <c r="H5" s="1289"/>
      <c r="I5" s="1289">
        <v>2013</v>
      </c>
      <c r="J5" s="1289"/>
      <c r="K5" s="1289"/>
      <c r="L5" s="1289">
        <v>2014</v>
      </c>
      <c r="M5" s="1289"/>
      <c r="N5" s="1289"/>
      <c r="O5" s="1289">
        <v>2015</v>
      </c>
      <c r="P5" s="1289"/>
      <c r="Q5" s="1289"/>
    </row>
    <row r="6" spans="1:19" ht="15">
      <c r="A6" s="128"/>
      <c r="B6" s="128"/>
      <c r="C6" s="129" t="s">
        <v>168</v>
      </c>
      <c r="D6" s="129" t="s">
        <v>169</v>
      </c>
      <c r="E6" s="129" t="s">
        <v>170</v>
      </c>
      <c r="F6" s="130" t="s">
        <v>168</v>
      </c>
      <c r="G6" s="130" t="s">
        <v>169</v>
      </c>
      <c r="H6" s="130" t="s">
        <v>170</v>
      </c>
      <c r="I6" s="129" t="s">
        <v>168</v>
      </c>
      <c r="J6" s="129" t="s">
        <v>169</v>
      </c>
      <c r="K6" s="129" t="s">
        <v>170</v>
      </c>
      <c r="L6" s="130" t="s">
        <v>168</v>
      </c>
      <c r="M6" s="130" t="s">
        <v>169</v>
      </c>
      <c r="N6" s="130" t="s">
        <v>170</v>
      </c>
      <c r="O6" s="129" t="s">
        <v>168</v>
      </c>
      <c r="P6" s="129" t="s">
        <v>169</v>
      </c>
      <c r="Q6" s="129" t="s">
        <v>170</v>
      </c>
      <c r="R6" s="136" t="s">
        <v>168</v>
      </c>
      <c r="S6" s="136" t="s">
        <v>169</v>
      </c>
    </row>
    <row r="7" spans="1:19" ht="57">
      <c r="A7" s="131" t="s">
        <v>7</v>
      </c>
      <c r="B7" s="128">
        <v>1968.55</v>
      </c>
      <c r="C7" s="128">
        <f>B7*(1+C11%)*(1+C14)</f>
        <v>2264.22621</v>
      </c>
      <c r="D7" s="128">
        <f>C7*(1+D11%)*(1+D14)</f>
        <v>2628.76662981</v>
      </c>
      <c r="E7" s="128">
        <f>(C7+D7)/2</f>
        <v>2446.496419905</v>
      </c>
      <c r="F7" s="128">
        <f>E7*(1+F11%)*(1+F14)</f>
        <v>2819.244614441726</v>
      </c>
      <c r="G7" s="128">
        <f>E7*(1+G11%)*(1+G14)</f>
        <v>2845.6667757767</v>
      </c>
      <c r="H7" s="128">
        <f>(F7+G7)/2</f>
        <v>2832.4556951092127</v>
      </c>
      <c r="I7" s="128">
        <f>H7*(1+I11%)*(1+I14)</f>
        <v>3270.126749117488</v>
      </c>
      <c r="J7" s="128">
        <f>H7*(1+J11%)*(1+J14)</f>
        <v>3300.717270624668</v>
      </c>
      <c r="K7" s="128">
        <f>(I7+J7)/2</f>
        <v>3285.422009871078</v>
      </c>
      <c r="L7" s="128">
        <f>K7*(1+L11%)*(1+L14)</f>
        <v>3803.7301861483397</v>
      </c>
      <c r="M7" s="128">
        <f>K7*(1+M11%)*(1+M14)</f>
        <v>3839.2127438549473</v>
      </c>
      <c r="N7" s="128">
        <f>(L7+M7)/2</f>
        <v>3821.4714650016435</v>
      </c>
      <c r="O7" s="128">
        <f>N7*(1+O11%)*(1+O14)</f>
        <v>4436.728370866908</v>
      </c>
      <c r="P7" s="128">
        <f>N7*(1+P11%)*(1+P14)</f>
        <v>4478.000262688925</v>
      </c>
      <c r="Q7" s="128">
        <f>(O7+P7)/2</f>
        <v>4457.364316777917</v>
      </c>
      <c r="R7">
        <f>C7+F7+I7+L7+O7</f>
        <v>16594.05613057446</v>
      </c>
      <c r="S7">
        <f>D7+G7+J7+M7+P7</f>
        <v>17092.36368275524</v>
      </c>
    </row>
    <row r="8" spans="1:19" ht="42.75">
      <c r="A8" s="131" t="s">
        <v>8</v>
      </c>
      <c r="B8" s="128">
        <v>108.15</v>
      </c>
      <c r="C8" s="128">
        <f>C7/C15</f>
        <v>121.73259193548385</v>
      </c>
      <c r="D8" s="128">
        <f>D7/D15</f>
        <v>141.33153923709676</v>
      </c>
      <c r="E8" s="128"/>
      <c r="F8" s="128">
        <f>F7/F15</f>
        <v>147.604430075483</v>
      </c>
      <c r="G8" s="128">
        <f>G7/G15</f>
        <v>148.98778930768063</v>
      </c>
      <c r="H8" s="128"/>
      <c r="I8" s="128">
        <f>I7/I15</f>
        <v>166.84320148558612</v>
      </c>
      <c r="J8" s="128">
        <f>J7/J15</f>
        <v>168.40394237880957</v>
      </c>
      <c r="K8" s="128"/>
      <c r="L8" s="128">
        <f>L7/L15</f>
        <v>187.37587123883446</v>
      </c>
      <c r="M8" s="128">
        <f>M7/M15</f>
        <v>189.12378048546537</v>
      </c>
      <c r="N8" s="128"/>
      <c r="O8" s="128">
        <f>O7/O15</f>
        <v>212.28365410846453</v>
      </c>
      <c r="P8" s="128">
        <f>P7/P15</f>
        <v>214.25838577458975</v>
      </c>
      <c r="Q8" s="128"/>
      <c r="R8">
        <f>C8+F8+I8+L8+O8</f>
        <v>835.839748843852</v>
      </c>
      <c r="S8">
        <f>D8+G8+J8+M8+P8</f>
        <v>862.105437183642</v>
      </c>
    </row>
    <row r="9" spans="1:19" ht="71.25">
      <c r="A9" s="131" t="s">
        <v>9</v>
      </c>
      <c r="B9" s="128">
        <v>1225.5</v>
      </c>
      <c r="C9" s="128">
        <f>C8*1000/C16</f>
        <v>1363.9506099213877</v>
      </c>
      <c r="D9" s="128">
        <f>D8*1000/D16</f>
        <v>1583.546658118731</v>
      </c>
      <c r="E9" s="128"/>
      <c r="F9" s="128">
        <f>F8*1000/F16</f>
        <v>1635.5061504208645</v>
      </c>
      <c r="G9" s="128">
        <f>G8*1000/G16</f>
        <v>1650.834230556018</v>
      </c>
      <c r="H9" s="128"/>
      <c r="I9" s="128">
        <f>I8*1000/I16</f>
        <v>1832.2337083855273</v>
      </c>
      <c r="J9" s="128">
        <f>J8*1000/J16</f>
        <v>1849.3734063124268</v>
      </c>
      <c r="K9" s="128"/>
      <c r="L9" s="128">
        <f>L8*1000/L16</f>
        <v>2039.7982934774054</v>
      </c>
      <c r="M9" s="128">
        <f>M8*1000/M16</f>
        <v>2058.826262632978</v>
      </c>
      <c r="N9" s="128"/>
      <c r="O9" s="128">
        <f>O8*1000/O16</f>
        <v>2291.242893777275</v>
      </c>
      <c r="P9" s="128">
        <f>P8*1000/P16</f>
        <v>2312.556781161249</v>
      </c>
      <c r="Q9" s="128"/>
      <c r="R9">
        <f>O9</f>
        <v>2291.242893777275</v>
      </c>
      <c r="S9">
        <f>P9</f>
        <v>2312.556781161249</v>
      </c>
    </row>
    <row r="10" spans="1:17" ht="12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ht="45">
      <c r="A11" s="132" t="s">
        <v>4</v>
      </c>
      <c r="B11" s="128"/>
      <c r="C11" s="128">
        <v>6.5</v>
      </c>
      <c r="D11" s="128">
        <v>7.5</v>
      </c>
      <c r="E11" s="128"/>
      <c r="F11" s="128">
        <v>6.7</v>
      </c>
      <c r="G11" s="128">
        <v>7.7</v>
      </c>
      <c r="H11" s="128"/>
      <c r="I11" s="128">
        <v>6.9</v>
      </c>
      <c r="J11" s="128">
        <v>7.9</v>
      </c>
      <c r="K11" s="128"/>
      <c r="L11" s="128">
        <v>7.2</v>
      </c>
      <c r="M11" s="128">
        <v>8.2</v>
      </c>
      <c r="N11" s="128"/>
      <c r="O11" s="128">
        <v>7.5</v>
      </c>
      <c r="P11" s="128">
        <v>8.5</v>
      </c>
      <c r="Q11" s="128"/>
    </row>
    <row r="12" spans="1:17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ht="12.75">
      <c r="A14" s="128" t="s">
        <v>167</v>
      </c>
      <c r="B14" s="128"/>
      <c r="C14" s="133">
        <v>0.08</v>
      </c>
      <c r="D14" s="133">
        <v>0.08</v>
      </c>
      <c r="E14" s="133">
        <v>0.08</v>
      </c>
      <c r="F14" s="133">
        <v>0.08</v>
      </c>
      <c r="G14" s="133">
        <v>0.08</v>
      </c>
      <c r="H14" s="133">
        <v>0.08</v>
      </c>
      <c r="I14" s="133">
        <v>0.08</v>
      </c>
      <c r="J14" s="133">
        <v>0.08</v>
      </c>
      <c r="K14" s="133">
        <v>0.08</v>
      </c>
      <c r="L14" s="133">
        <v>0.08</v>
      </c>
      <c r="M14" s="133">
        <v>0.08</v>
      </c>
      <c r="N14" s="133">
        <v>0.08</v>
      </c>
      <c r="O14" s="133">
        <v>0.08</v>
      </c>
      <c r="P14" s="133">
        <v>0.08</v>
      </c>
      <c r="Q14" s="133">
        <v>0.08</v>
      </c>
    </row>
    <row r="15" spans="1:17" ht="12.75">
      <c r="A15" s="128" t="s">
        <v>171</v>
      </c>
      <c r="B15" s="128"/>
      <c r="C15" s="128">
        <v>18.6</v>
      </c>
      <c r="D15" s="128">
        <v>18.6</v>
      </c>
      <c r="E15" s="128">
        <v>18.6</v>
      </c>
      <c r="F15" s="128">
        <v>19.1</v>
      </c>
      <c r="G15" s="128">
        <v>19.1</v>
      </c>
      <c r="H15" s="128">
        <v>19.1</v>
      </c>
      <c r="I15" s="128">
        <v>19.6</v>
      </c>
      <c r="J15" s="128">
        <v>19.6</v>
      </c>
      <c r="K15" s="128">
        <v>19.6</v>
      </c>
      <c r="L15" s="128">
        <v>20.3</v>
      </c>
      <c r="M15" s="128">
        <v>20.3</v>
      </c>
      <c r="N15" s="128">
        <v>20.3</v>
      </c>
      <c r="O15" s="128">
        <v>20.9</v>
      </c>
      <c r="P15" s="128">
        <v>20.9</v>
      </c>
      <c r="Q15" s="128">
        <v>20.9</v>
      </c>
    </row>
    <row r="16" spans="1:17" ht="14.25">
      <c r="A16" s="128" t="s">
        <v>172</v>
      </c>
      <c r="B16" s="128"/>
      <c r="C16" s="134">
        <v>89.25</v>
      </c>
      <c r="D16" s="134">
        <v>89.25</v>
      </c>
      <c r="E16" s="134">
        <v>89.25</v>
      </c>
      <c r="F16" s="134">
        <v>90.25</v>
      </c>
      <c r="G16" s="134">
        <v>90.25</v>
      </c>
      <c r="H16" s="134">
        <v>90.25</v>
      </c>
      <c r="I16" s="134">
        <v>91.06</v>
      </c>
      <c r="J16" s="134">
        <v>91.06</v>
      </c>
      <c r="K16" s="134">
        <v>91.06</v>
      </c>
      <c r="L16" s="134">
        <v>91.86</v>
      </c>
      <c r="M16" s="134">
        <v>91.86</v>
      </c>
      <c r="N16" s="134">
        <v>91.86</v>
      </c>
      <c r="O16" s="134">
        <v>92.65</v>
      </c>
      <c r="P16" s="134">
        <v>92.65</v>
      </c>
      <c r="Q16" s="134">
        <v>92.65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28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0">
      <selection activeCell="A28" sqref="A28"/>
    </sheetView>
  </sheetViews>
  <sheetFormatPr defaultColWidth="9.140625" defaultRowHeight="12.75"/>
  <cols>
    <col min="1" max="1" width="23.421875" style="0" bestFit="1" customWidth="1"/>
    <col min="2" max="2" width="9.8515625" style="0" bestFit="1" customWidth="1"/>
  </cols>
  <sheetData>
    <row r="2" spans="2:12" ht="27.75" customHeight="1">
      <c r="B2" t="s">
        <v>184</v>
      </c>
      <c r="C2" s="1290">
        <v>2011</v>
      </c>
      <c r="D2" s="1290"/>
      <c r="E2" s="1290">
        <v>2012</v>
      </c>
      <c r="F2" s="1290"/>
      <c r="G2" s="1290">
        <v>2013</v>
      </c>
      <c r="H2" s="1290"/>
      <c r="I2" s="1290">
        <v>2014</v>
      </c>
      <c r="J2" s="1290"/>
      <c r="K2" s="1290">
        <v>2015</v>
      </c>
      <c r="L2" s="1290"/>
    </row>
    <row r="3" spans="3:12" ht="27.75" customHeight="1">
      <c r="C3" t="s">
        <v>168</v>
      </c>
      <c r="D3" t="s">
        <v>169</v>
      </c>
      <c r="E3" t="s">
        <v>168</v>
      </c>
      <c r="F3" t="s">
        <v>169</v>
      </c>
      <c r="G3" t="s">
        <v>168</v>
      </c>
      <c r="H3" t="s">
        <v>169</v>
      </c>
      <c r="I3" t="s">
        <v>168</v>
      </c>
      <c r="J3" t="s">
        <v>169</v>
      </c>
      <c r="K3" t="s">
        <v>168</v>
      </c>
      <c r="L3" t="s">
        <v>169</v>
      </c>
    </row>
    <row r="4" spans="1:12" ht="27.75" customHeight="1">
      <c r="A4" t="s">
        <v>174</v>
      </c>
      <c r="B4" t="s">
        <v>185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113</v>
      </c>
      <c r="B5" t="s">
        <v>185</v>
      </c>
      <c r="C5">
        <f>Sheet1!C7</f>
        <v>2264.22621</v>
      </c>
      <c r="D5">
        <f>Sheet1!D7</f>
        <v>2628.76662981</v>
      </c>
      <c r="E5">
        <f>Sheet1!F7</f>
        <v>2819.244614441726</v>
      </c>
      <c r="F5">
        <f>Sheet1!G7</f>
        <v>2845.6667757767</v>
      </c>
      <c r="G5">
        <f>Sheet1!I7</f>
        <v>3270.126749117488</v>
      </c>
      <c r="H5">
        <f>Sheet1!J7</f>
        <v>3300.717270624668</v>
      </c>
      <c r="I5">
        <f>Sheet1!L7</f>
        <v>3803.7301861483397</v>
      </c>
      <c r="J5">
        <f>Sheet1!M7</f>
        <v>3839.2127438549473</v>
      </c>
      <c r="K5">
        <f>Sheet1!O7</f>
        <v>4436.728370866908</v>
      </c>
      <c r="L5">
        <f>Sheet1!P7</f>
        <v>4478.000262688925</v>
      </c>
    </row>
    <row r="6" spans="1:11" ht="27.75" customHeight="1">
      <c r="A6" t="s">
        <v>175</v>
      </c>
      <c r="B6" t="s">
        <v>186</v>
      </c>
      <c r="C6" t="e">
        <f>#REF!</f>
        <v>#REF!</v>
      </c>
      <c r="E6" t="e">
        <f>#REF!</f>
        <v>#REF!</v>
      </c>
      <c r="G6" t="e">
        <f>#REF!</f>
        <v>#REF!</v>
      </c>
      <c r="I6" t="e">
        <f>#REF!</f>
        <v>#REF!</v>
      </c>
      <c r="K6" t="e">
        <f>#REF!</f>
        <v>#REF!</v>
      </c>
    </row>
    <row r="7" spans="1:11" ht="27.75" customHeight="1">
      <c r="A7" t="s">
        <v>176</v>
      </c>
      <c r="B7" t="s">
        <v>185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ht="27.75" customHeight="1"/>
    <row r="9" ht="27.75" customHeight="1">
      <c r="A9" t="s">
        <v>177</v>
      </c>
    </row>
    <row r="10" ht="27.75" customHeight="1">
      <c r="A10" t="s">
        <v>178</v>
      </c>
    </row>
    <row r="11" ht="27.75" customHeight="1">
      <c r="A11" t="s">
        <v>179</v>
      </c>
    </row>
    <row r="12" ht="27.75" customHeight="1">
      <c r="A12" t="s">
        <v>180</v>
      </c>
    </row>
    <row r="13" spans="1:11" ht="27.75" customHeight="1">
      <c r="A13" t="s">
        <v>181</v>
      </c>
      <c r="C13" t="e">
        <f>#REF!</f>
        <v>#REF!</v>
      </c>
      <c r="E13" t="e">
        <f>#REF!</f>
        <v>#REF!</v>
      </c>
      <c r="G13" t="e">
        <f>#REF!</f>
        <v>#REF!</v>
      </c>
      <c r="I13" t="e">
        <f>#REF!</f>
        <v>#REF!</v>
      </c>
      <c r="K13" t="e">
        <f>#REF!</f>
        <v>#REF!</v>
      </c>
    </row>
    <row r="14" ht="27.75" customHeight="1">
      <c r="A14" t="s">
        <v>182</v>
      </c>
    </row>
    <row r="15" ht="27.75" customHeight="1">
      <c r="A15" t="s">
        <v>183</v>
      </c>
    </row>
    <row r="16" ht="27.75" customHeight="1"/>
    <row r="17" spans="1:12" ht="27.75" customHeight="1">
      <c r="A17" t="s">
        <v>171</v>
      </c>
      <c r="B17" t="s">
        <v>187</v>
      </c>
      <c r="C17">
        <f>Sheet1!C15</f>
        <v>18.6</v>
      </c>
      <c r="D17">
        <f>Sheet1!D15</f>
        <v>18.6</v>
      </c>
      <c r="E17">
        <f>Sheet1!F15</f>
        <v>19.1</v>
      </c>
      <c r="F17">
        <f>Sheet1!G15</f>
        <v>19.1</v>
      </c>
      <c r="G17">
        <f>Sheet1!I15</f>
        <v>19.6</v>
      </c>
      <c r="H17">
        <f>Sheet1!J15</f>
        <v>19.6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3" ht="18.75" customHeight="1">
      <c r="A19" t="s">
        <v>188</v>
      </c>
      <c r="C19">
        <v>100</v>
      </c>
    </row>
    <row r="20" ht="18.75" customHeight="1">
      <c r="A20" t="s">
        <v>189</v>
      </c>
    </row>
    <row r="21" spans="1:12" ht="18.75" customHeight="1">
      <c r="A21" t="s">
        <v>190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191</v>
      </c>
      <c r="C22">
        <v>36.8</v>
      </c>
      <c r="D22">
        <v>36.6</v>
      </c>
      <c r="E22">
        <v>36.9</v>
      </c>
      <c r="F22">
        <v>36.7</v>
      </c>
      <c r="G22">
        <v>37</v>
      </c>
      <c r="H22">
        <v>36.8</v>
      </c>
      <c r="I22">
        <v>37.1</v>
      </c>
      <c r="J22">
        <v>36.9</v>
      </c>
      <c r="K22">
        <v>37.3</v>
      </c>
      <c r="L22">
        <v>37.1</v>
      </c>
    </row>
    <row r="23" ht="18.75" customHeight="1"/>
    <row r="24" ht="18.75" customHeight="1">
      <c r="A24" t="s">
        <v>40</v>
      </c>
    </row>
    <row r="25" ht="18.75" customHeight="1">
      <c r="A25" t="s">
        <v>192</v>
      </c>
    </row>
    <row r="26" ht="18.75" customHeight="1">
      <c r="A26" t="s">
        <v>193</v>
      </c>
    </row>
    <row r="27" ht="18.75" customHeight="1">
      <c r="A27" t="s">
        <v>194</v>
      </c>
    </row>
  </sheetData>
  <sheetProtection/>
  <mergeCells count="5">
    <mergeCell ref="K2:L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view="pageBreakPreview" zoomScale="85" zoomScaleNormal="70" zoomScaleSheetLayoutView="85" zoomScalePageLayoutView="0" workbookViewId="0" topLeftCell="A1">
      <selection activeCell="G7" sqref="G7"/>
    </sheetView>
  </sheetViews>
  <sheetFormatPr defaultColWidth="9.140625" defaultRowHeight="12.75"/>
  <cols>
    <col min="1" max="1" width="6.421875" style="480" customWidth="1"/>
    <col min="2" max="2" width="33.140625" style="455" customWidth="1"/>
    <col min="3" max="3" width="13.140625" style="430" customWidth="1"/>
    <col min="4" max="4" width="14.8515625" style="454" customWidth="1"/>
    <col min="5" max="5" width="14.57421875" style="431" customWidth="1"/>
    <col min="6" max="6" width="13.7109375" style="431" customWidth="1"/>
    <col min="7" max="7" width="14.8515625" style="431" customWidth="1"/>
    <col min="8" max="8" width="14.28125" style="431" customWidth="1"/>
    <col min="9" max="9" width="13.57421875" style="431" customWidth="1"/>
    <col min="10" max="10" width="19.57421875" style="431" customWidth="1"/>
    <col min="11" max="12" width="9.28125" style="431" bestFit="1" customWidth="1"/>
    <col min="13" max="13" width="10.8515625" style="431" bestFit="1" customWidth="1"/>
    <col min="14" max="16384" width="9.140625" style="431" customWidth="1"/>
  </cols>
  <sheetData>
    <row r="1" spans="1:10" ht="36.75" customHeight="1">
      <c r="A1" s="431"/>
      <c r="B1" s="464" t="s">
        <v>383</v>
      </c>
      <c r="D1" s="430"/>
      <c r="H1" s="462" t="s">
        <v>342</v>
      </c>
      <c r="I1" s="1201" t="s">
        <v>331</v>
      </c>
      <c r="J1" s="1201"/>
    </row>
    <row r="2" spans="1:10" ht="27.75" customHeight="1">
      <c r="A2" s="431"/>
      <c r="B2" s="1202" t="s">
        <v>482</v>
      </c>
      <c r="C2" s="1202"/>
      <c r="D2" s="1202"/>
      <c r="E2" s="1202"/>
      <c r="F2" s="1202"/>
      <c r="G2" s="1202"/>
      <c r="H2" s="1202"/>
      <c r="I2" s="1202"/>
      <c r="J2" s="1202"/>
    </row>
    <row r="3" spans="1:10" ht="24" customHeight="1">
      <c r="A3" s="1203" t="s">
        <v>384</v>
      </c>
      <c r="B3" s="1203"/>
      <c r="C3" s="1203"/>
      <c r="D3" s="1203"/>
      <c r="E3" s="1203"/>
      <c r="F3" s="1203"/>
      <c r="G3" s="1203"/>
      <c r="H3" s="1203"/>
      <c r="I3" s="1203"/>
      <c r="J3" s="1203"/>
    </row>
    <row r="5" spans="1:10" s="464" customFormat="1" ht="68.25" customHeight="1">
      <c r="A5" s="463" t="s">
        <v>0</v>
      </c>
      <c r="B5" s="432" t="s">
        <v>287</v>
      </c>
      <c r="C5" s="432" t="s">
        <v>184</v>
      </c>
      <c r="D5" s="433" t="s">
        <v>332</v>
      </c>
      <c r="E5" s="433" t="s">
        <v>333</v>
      </c>
      <c r="F5" s="433" t="s">
        <v>334</v>
      </c>
      <c r="G5" s="433" t="s">
        <v>335</v>
      </c>
      <c r="H5" s="433" t="s">
        <v>336</v>
      </c>
      <c r="I5" s="433" t="s">
        <v>337</v>
      </c>
      <c r="J5" s="433" t="s">
        <v>338</v>
      </c>
    </row>
    <row r="6" spans="1:22" s="469" customFormat="1" ht="49.5">
      <c r="A6" s="465" t="s">
        <v>101</v>
      </c>
      <c r="B6" s="466" t="s">
        <v>385</v>
      </c>
      <c r="C6" s="467" t="s">
        <v>368</v>
      </c>
      <c r="D6" s="466">
        <v>2822</v>
      </c>
      <c r="E6" s="466">
        <v>803.7</v>
      </c>
      <c r="F6" s="466">
        <v>917.8254000000001</v>
      </c>
      <c r="G6" s="466">
        <v>1050.910083</v>
      </c>
      <c r="H6" s="466">
        <v>1203.5022270516</v>
      </c>
      <c r="I6" s="466">
        <v>1378.9728517557232</v>
      </c>
      <c r="J6" s="466">
        <f>SUM(E6:I6)</f>
        <v>5354.910561807324</v>
      </c>
      <c r="K6" s="864">
        <f>I6</f>
        <v>1378.9728517557232</v>
      </c>
      <c r="L6" s="469">
        <v>705</v>
      </c>
      <c r="M6" s="951">
        <f>(I6/L6)^(1/5)</f>
        <v>1.1435978227135808</v>
      </c>
      <c r="N6" s="468"/>
      <c r="P6" s="470"/>
      <c r="Q6" s="468"/>
      <c r="S6" s="470"/>
      <c r="T6" s="468"/>
      <c r="V6" s="470"/>
    </row>
    <row r="7" spans="1:13" ht="16.5">
      <c r="A7" s="471" t="s">
        <v>102</v>
      </c>
      <c r="B7" s="955" t="s">
        <v>386</v>
      </c>
      <c r="C7" s="956"/>
      <c r="D7" s="473"/>
      <c r="E7" s="473"/>
      <c r="F7" s="473"/>
      <c r="G7" s="473"/>
      <c r="H7" s="473"/>
      <c r="I7" s="473"/>
      <c r="J7" s="474"/>
      <c r="L7" s="431">
        <f>K6/L6</f>
        <v>1.955989860646416</v>
      </c>
      <c r="M7" s="431">
        <f>J6/D6</f>
        <v>1.8975586682520635</v>
      </c>
    </row>
    <row r="8" spans="1:10" ht="16.5">
      <c r="A8" s="472">
        <v>1</v>
      </c>
      <c r="B8" s="957" t="s">
        <v>387</v>
      </c>
      <c r="C8" s="956" t="s">
        <v>388</v>
      </c>
      <c r="D8" s="473">
        <v>745.2</v>
      </c>
      <c r="E8" s="473">
        <v>320</v>
      </c>
      <c r="F8" s="473">
        <v>490</v>
      </c>
      <c r="G8" s="473">
        <v>680</v>
      </c>
      <c r="H8" s="473">
        <v>760</v>
      </c>
      <c r="I8" s="473">
        <v>830</v>
      </c>
      <c r="J8" s="475">
        <f>SUM(E8:I8)</f>
        <v>3080</v>
      </c>
    </row>
    <row r="9" spans="1:10" ht="16.5">
      <c r="A9" s="472">
        <v>2</v>
      </c>
      <c r="B9" s="957" t="s">
        <v>389</v>
      </c>
      <c r="C9" s="956" t="s">
        <v>718</v>
      </c>
      <c r="D9" s="473">
        <v>72.4</v>
      </c>
      <c r="E9" s="958">
        <v>22</v>
      </c>
      <c r="F9" s="958">
        <v>22.5</v>
      </c>
      <c r="G9" s="958">
        <v>25</v>
      </c>
      <c r="H9" s="958">
        <v>28</v>
      </c>
      <c r="I9" s="475">
        <v>30</v>
      </c>
      <c r="J9" s="475">
        <f aca="true" t="shared" si="0" ref="J9:J17">SUM(E9:I9)</f>
        <v>127.5</v>
      </c>
    </row>
    <row r="10" spans="1:10" ht="16.5">
      <c r="A10" s="472">
        <v>3</v>
      </c>
      <c r="B10" s="957" t="s">
        <v>391</v>
      </c>
      <c r="C10" s="956" t="s">
        <v>392</v>
      </c>
      <c r="D10" s="473">
        <v>2807</v>
      </c>
      <c r="E10" s="958">
        <v>500</v>
      </c>
      <c r="F10" s="958">
        <v>515</v>
      </c>
      <c r="G10" s="958">
        <v>530</v>
      </c>
      <c r="H10" s="958">
        <v>550</v>
      </c>
      <c r="I10" s="475">
        <v>600</v>
      </c>
      <c r="J10" s="475">
        <f t="shared" si="0"/>
        <v>2695</v>
      </c>
    </row>
    <row r="11" spans="1:10" ht="16.5">
      <c r="A11" s="472">
        <v>4</v>
      </c>
      <c r="B11" s="957" t="s">
        <v>393</v>
      </c>
      <c r="C11" s="956" t="s">
        <v>394</v>
      </c>
      <c r="D11" s="473">
        <v>401.6</v>
      </c>
      <c r="E11" s="473">
        <v>95</v>
      </c>
      <c r="F11" s="473">
        <v>98</v>
      </c>
      <c r="G11" s="473">
        <v>120</v>
      </c>
      <c r="H11" s="473">
        <v>150</v>
      </c>
      <c r="I11" s="473">
        <v>200</v>
      </c>
      <c r="J11" s="476">
        <f t="shared" si="0"/>
        <v>663</v>
      </c>
    </row>
    <row r="12" spans="1:10" ht="16.5">
      <c r="A12" s="472">
        <v>5</v>
      </c>
      <c r="B12" s="957" t="s">
        <v>395</v>
      </c>
      <c r="C12" s="956" t="s">
        <v>396</v>
      </c>
      <c r="D12" s="473">
        <v>29.1</v>
      </c>
      <c r="E12" s="473">
        <v>7.15</v>
      </c>
      <c r="F12" s="473">
        <v>7.8</v>
      </c>
      <c r="G12" s="473">
        <v>8.450000000000001</v>
      </c>
      <c r="H12" s="473">
        <v>9.1</v>
      </c>
      <c r="I12" s="473">
        <v>10</v>
      </c>
      <c r="J12" s="476">
        <f t="shared" si="0"/>
        <v>42.5</v>
      </c>
    </row>
    <row r="13" spans="1:10" ht="16.5">
      <c r="A13" s="472">
        <v>6</v>
      </c>
      <c r="B13" s="957" t="s">
        <v>397</v>
      </c>
      <c r="C13" s="956" t="s">
        <v>398</v>
      </c>
      <c r="D13" s="473">
        <v>7341</v>
      </c>
      <c r="E13" s="473">
        <v>1870.0000000000002</v>
      </c>
      <c r="F13" s="473">
        <v>2040</v>
      </c>
      <c r="G13" s="473">
        <v>2210</v>
      </c>
      <c r="H13" s="473">
        <v>2380</v>
      </c>
      <c r="I13" s="473">
        <v>2550</v>
      </c>
      <c r="J13" s="476">
        <f t="shared" si="0"/>
        <v>11050</v>
      </c>
    </row>
    <row r="14" spans="1:10" ht="16.5">
      <c r="A14" s="472">
        <v>7</v>
      </c>
      <c r="B14" s="957" t="s">
        <v>399</v>
      </c>
      <c r="C14" s="956" t="s">
        <v>400</v>
      </c>
      <c r="D14" s="477">
        <v>1384</v>
      </c>
      <c r="E14" s="477">
        <v>300</v>
      </c>
      <c r="F14" s="476">
        <v>300</v>
      </c>
      <c r="G14" s="476">
        <v>300</v>
      </c>
      <c r="H14" s="476">
        <v>300</v>
      </c>
      <c r="I14" s="476">
        <v>300</v>
      </c>
      <c r="J14" s="476">
        <f t="shared" si="0"/>
        <v>1500</v>
      </c>
    </row>
    <row r="15" spans="1:10" ht="33">
      <c r="A15" s="472">
        <v>8</v>
      </c>
      <c r="B15" s="957" t="s">
        <v>401</v>
      </c>
      <c r="C15" s="956" t="s">
        <v>390</v>
      </c>
      <c r="D15" s="477">
        <v>10149</v>
      </c>
      <c r="E15" s="477">
        <v>2700</v>
      </c>
      <c r="F15" s="476">
        <v>2700</v>
      </c>
      <c r="G15" s="476">
        <v>3000</v>
      </c>
      <c r="H15" s="476">
        <v>3000</v>
      </c>
      <c r="I15" s="476">
        <v>3000</v>
      </c>
      <c r="J15" s="476">
        <f t="shared" si="0"/>
        <v>14400</v>
      </c>
    </row>
    <row r="16" spans="1:10" ht="16.5">
      <c r="A16" s="478">
        <v>9</v>
      </c>
      <c r="B16" s="957" t="s">
        <v>402</v>
      </c>
      <c r="C16" s="956" t="s">
        <v>403</v>
      </c>
      <c r="D16" s="959">
        <v>50000</v>
      </c>
      <c r="E16" s="959">
        <v>20000</v>
      </c>
      <c r="F16" s="959">
        <v>25000</v>
      </c>
      <c r="G16" s="959">
        <v>35000</v>
      </c>
      <c r="H16" s="959">
        <v>40000</v>
      </c>
      <c r="I16" s="479">
        <v>55000</v>
      </c>
      <c r="J16" s="476">
        <f t="shared" si="0"/>
        <v>175000</v>
      </c>
    </row>
    <row r="17" spans="1:10" ht="16.5">
      <c r="A17" s="478">
        <v>10</v>
      </c>
      <c r="B17" s="957" t="s">
        <v>404</v>
      </c>
      <c r="C17" s="956" t="s">
        <v>390</v>
      </c>
      <c r="D17" s="477">
        <v>7577</v>
      </c>
      <c r="E17" s="477">
        <v>8117</v>
      </c>
      <c r="F17" s="477">
        <v>8657</v>
      </c>
      <c r="G17" s="477">
        <v>9197</v>
      </c>
      <c r="H17" s="477">
        <v>9737</v>
      </c>
      <c r="I17" s="477">
        <v>13022</v>
      </c>
      <c r="J17" s="477">
        <f t="shared" si="0"/>
        <v>48730</v>
      </c>
    </row>
    <row r="18" spans="1:10" ht="16.5">
      <c r="A18" s="472">
        <v>11</v>
      </c>
      <c r="B18" s="957" t="s">
        <v>405</v>
      </c>
      <c r="C18" s="956" t="s">
        <v>406</v>
      </c>
      <c r="D18" s="477">
        <v>130</v>
      </c>
      <c r="E18" s="477">
        <v>130</v>
      </c>
      <c r="F18" s="477">
        <v>130</v>
      </c>
      <c r="G18" s="477">
        <v>130</v>
      </c>
      <c r="H18" s="477">
        <v>130</v>
      </c>
      <c r="I18" s="477">
        <v>130</v>
      </c>
      <c r="J18" s="477">
        <v>130</v>
      </c>
    </row>
    <row r="19" spans="1:10" ht="16.5">
      <c r="A19" s="472">
        <v>12</v>
      </c>
      <c r="B19" s="957" t="s">
        <v>407</v>
      </c>
      <c r="C19" s="956" t="s">
        <v>5</v>
      </c>
      <c r="D19" s="477">
        <v>83.4</v>
      </c>
      <c r="E19" s="477">
        <v>89.68</v>
      </c>
      <c r="F19" s="477">
        <v>92.18</v>
      </c>
      <c r="G19" s="477">
        <v>94.68</v>
      </c>
      <c r="H19" s="477">
        <v>96</v>
      </c>
      <c r="I19" s="477">
        <v>98</v>
      </c>
      <c r="J19" s="477">
        <v>98</v>
      </c>
    </row>
  </sheetData>
  <sheetProtection/>
  <mergeCells count="3">
    <mergeCell ref="I1:J1"/>
    <mergeCell ref="B2:J2"/>
    <mergeCell ref="A3:J3"/>
  </mergeCells>
  <printOptions horizontalCentered="1"/>
  <pageMargins left="0.669291338582677" right="0.511811023622047" top="0.56" bottom="0.905511811023622" header="0.39" footer="0.551181102362205"/>
  <pageSetup fitToHeight="0" fitToWidth="1" horizontalDpi="600" verticalDpi="600" orientation="landscape" paperSize="9" scale="86" r:id="rId1"/>
  <headerFooter alignWithMargins="0">
    <oddFooter>&amp;R&amp;"Times New Roman,Regular"&amp;12&amp;P/&amp;N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85" zoomScaleNormal="85" zoomScaleSheetLayoutView="85" zoomScalePageLayoutView="0" workbookViewId="0" topLeftCell="A1">
      <selection activeCell="G13" sqref="G13"/>
    </sheetView>
  </sheetViews>
  <sheetFormatPr defaultColWidth="9.140625" defaultRowHeight="12.75"/>
  <cols>
    <col min="1" max="1" width="8.140625" style="480" customWidth="1"/>
    <col min="2" max="2" width="36.00390625" style="455" customWidth="1"/>
    <col min="3" max="3" width="15.8515625" style="430" customWidth="1"/>
    <col min="4" max="4" width="14.8515625" style="454" customWidth="1"/>
    <col min="5" max="10" width="12.421875" style="431" customWidth="1"/>
    <col min="11" max="11" width="15.140625" style="431" customWidth="1"/>
    <col min="12" max="12" width="7.8515625" style="431" customWidth="1"/>
    <col min="13" max="16384" width="9.140625" style="431" customWidth="1"/>
  </cols>
  <sheetData>
    <row r="1" spans="2:11" ht="30" customHeight="1">
      <c r="B1" s="464" t="s">
        <v>408</v>
      </c>
      <c r="H1" s="481"/>
      <c r="I1" s="462" t="s">
        <v>342</v>
      </c>
      <c r="J1" s="1201" t="s">
        <v>331</v>
      </c>
      <c r="K1" s="1201"/>
    </row>
    <row r="2" spans="2:11" ht="30" customHeight="1">
      <c r="B2" s="1204" t="s">
        <v>482</v>
      </c>
      <c r="C2" s="1204"/>
      <c r="D2" s="1204"/>
      <c r="E2" s="1204"/>
      <c r="F2" s="1204"/>
      <c r="G2" s="1204"/>
      <c r="H2" s="1204"/>
      <c r="I2" s="1204"/>
      <c r="J2" s="1204"/>
      <c r="K2" s="1204"/>
    </row>
    <row r="3" spans="1:11" ht="30" customHeight="1">
      <c r="A3" s="1203" t="s">
        <v>409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</row>
    <row r="4" ht="27.75" customHeight="1"/>
    <row r="5" spans="1:12" s="464" customFormat="1" ht="33" customHeight="1">
      <c r="A5" s="1206" t="s">
        <v>0</v>
      </c>
      <c r="B5" s="1206" t="s">
        <v>410</v>
      </c>
      <c r="C5" s="1206" t="s">
        <v>184</v>
      </c>
      <c r="D5" s="1206" t="s">
        <v>411</v>
      </c>
      <c r="E5" s="1207" t="s">
        <v>412</v>
      </c>
      <c r="F5" s="1207"/>
      <c r="G5" s="1207"/>
      <c r="H5" s="1207"/>
      <c r="I5" s="1207"/>
      <c r="J5" s="1207"/>
      <c r="K5" s="1206" t="s">
        <v>413</v>
      </c>
      <c r="L5" s="482"/>
    </row>
    <row r="6" spans="1:12" s="464" customFormat="1" ht="33" customHeight="1">
      <c r="A6" s="1206"/>
      <c r="B6" s="1206"/>
      <c r="C6" s="1206"/>
      <c r="D6" s="1206"/>
      <c r="E6" s="433" t="s">
        <v>333</v>
      </c>
      <c r="F6" s="433" t="s">
        <v>334</v>
      </c>
      <c r="G6" s="433" t="s">
        <v>335</v>
      </c>
      <c r="H6" s="433" t="s">
        <v>336</v>
      </c>
      <c r="I6" s="433" t="s">
        <v>337</v>
      </c>
      <c r="J6" s="433" t="s">
        <v>414</v>
      </c>
      <c r="K6" s="1206"/>
      <c r="L6" s="482"/>
    </row>
    <row r="7" spans="1:12" s="455" customFormat="1" ht="26.25" customHeight="1">
      <c r="A7" s="483" t="s">
        <v>415</v>
      </c>
      <c r="B7" s="483" t="s">
        <v>416</v>
      </c>
      <c r="C7" s="483" t="s">
        <v>417</v>
      </c>
      <c r="D7" s="483" t="s">
        <v>418</v>
      </c>
      <c r="E7" s="483" t="s">
        <v>419</v>
      </c>
      <c r="F7" s="483" t="s">
        <v>420</v>
      </c>
      <c r="G7" s="483" t="s">
        <v>421</v>
      </c>
      <c r="H7" s="483" t="s">
        <v>422</v>
      </c>
      <c r="I7" s="483" t="s">
        <v>423</v>
      </c>
      <c r="J7" s="483" t="s">
        <v>424</v>
      </c>
      <c r="K7" s="483" t="s">
        <v>425</v>
      </c>
      <c r="L7" s="484"/>
    </row>
    <row r="8" spans="1:12" ht="33.75" customHeight="1">
      <c r="A8" s="485">
        <v>1</v>
      </c>
      <c r="B8" s="486" t="s">
        <v>426</v>
      </c>
      <c r="C8" s="487" t="s">
        <v>427</v>
      </c>
      <c r="D8" s="488">
        <v>80.54</v>
      </c>
      <c r="E8" s="488">
        <v>58.900000000000006</v>
      </c>
      <c r="F8" s="488">
        <v>29.5</v>
      </c>
      <c r="G8" s="488">
        <v>42</v>
      </c>
      <c r="H8" s="488">
        <v>3</v>
      </c>
      <c r="I8" s="488">
        <v>29.8</v>
      </c>
      <c r="J8" s="488">
        <v>163.20000000000002</v>
      </c>
      <c r="K8" s="488">
        <v>243.74</v>
      </c>
      <c r="L8" s="489"/>
    </row>
    <row r="9" spans="1:23" s="469" customFormat="1" ht="27" customHeight="1">
      <c r="A9" s="490" t="s">
        <v>416</v>
      </c>
      <c r="B9" s="491" t="s">
        <v>428</v>
      </c>
      <c r="C9" s="492" t="s">
        <v>371</v>
      </c>
      <c r="D9" s="493">
        <v>360</v>
      </c>
      <c r="E9" s="494">
        <v>0</v>
      </c>
      <c r="F9" s="494">
        <v>0</v>
      </c>
      <c r="G9" s="494">
        <v>0</v>
      </c>
      <c r="H9" s="494">
        <v>0</v>
      </c>
      <c r="I9" s="494">
        <v>0</v>
      </c>
      <c r="J9" s="494">
        <v>0</v>
      </c>
      <c r="K9" s="494"/>
      <c r="L9" s="495"/>
      <c r="N9" s="470"/>
      <c r="O9" s="468"/>
      <c r="Q9" s="470"/>
      <c r="R9" s="468"/>
      <c r="T9" s="470"/>
      <c r="U9" s="468"/>
      <c r="W9" s="470"/>
    </row>
    <row r="10" spans="1:12" s="499" customFormat="1" ht="24" customHeight="1">
      <c r="A10" s="490" t="s">
        <v>417</v>
      </c>
      <c r="B10" s="491" t="s">
        <v>429</v>
      </c>
      <c r="C10" s="496"/>
      <c r="D10" s="497"/>
      <c r="E10" s="494"/>
      <c r="F10" s="494"/>
      <c r="G10" s="494"/>
      <c r="H10" s="494"/>
      <c r="I10" s="494"/>
      <c r="J10" s="494"/>
      <c r="K10" s="494"/>
      <c r="L10" s="498"/>
    </row>
    <row r="11" spans="1:12" s="499" customFormat="1" ht="27" customHeight="1">
      <c r="A11" s="500"/>
      <c r="B11" s="501" t="s">
        <v>430</v>
      </c>
      <c r="C11" s="496" t="s">
        <v>431</v>
      </c>
      <c r="D11" s="497">
        <v>15</v>
      </c>
      <c r="E11" s="502">
        <v>7</v>
      </c>
      <c r="F11" s="502">
        <v>1</v>
      </c>
      <c r="G11" s="502">
        <v>2</v>
      </c>
      <c r="H11" s="502">
        <v>3</v>
      </c>
      <c r="I11" s="502">
        <v>2</v>
      </c>
      <c r="J11" s="502">
        <v>15</v>
      </c>
      <c r="K11" s="502">
        <v>30</v>
      </c>
      <c r="L11" s="498"/>
    </row>
    <row r="12" spans="1:12" s="499" customFormat="1" ht="27" customHeight="1">
      <c r="A12" s="500"/>
      <c r="B12" s="503" t="s">
        <v>432</v>
      </c>
      <c r="C12" s="504" t="s">
        <v>433</v>
      </c>
      <c r="D12" s="497">
        <v>650</v>
      </c>
      <c r="E12" s="502">
        <v>0</v>
      </c>
      <c r="F12" s="505">
        <v>0</v>
      </c>
      <c r="G12" s="502">
        <v>0</v>
      </c>
      <c r="H12" s="502">
        <v>0</v>
      </c>
      <c r="I12" s="502">
        <v>0</v>
      </c>
      <c r="J12" s="502">
        <v>0</v>
      </c>
      <c r="K12" s="1073">
        <v>650</v>
      </c>
      <c r="L12" s="498"/>
    </row>
    <row r="13" spans="1:23" s="469" customFormat="1" ht="29.25" customHeight="1">
      <c r="A13" s="506"/>
      <c r="B13" s="501" t="s">
        <v>434</v>
      </c>
      <c r="C13" s="504" t="s">
        <v>435</v>
      </c>
      <c r="D13" s="507"/>
      <c r="E13" s="508">
        <v>1</v>
      </c>
      <c r="F13" s="508">
        <v>1</v>
      </c>
      <c r="G13" s="509">
        <v>1</v>
      </c>
      <c r="H13" s="508">
        <v>1</v>
      </c>
      <c r="I13" s="508">
        <v>4.5</v>
      </c>
      <c r="J13" s="508">
        <v>8.5</v>
      </c>
      <c r="K13" s="508">
        <v>16.5</v>
      </c>
      <c r="L13" s="495"/>
      <c r="N13" s="470"/>
      <c r="O13" s="468"/>
      <c r="Q13" s="470"/>
      <c r="R13" s="468"/>
      <c r="T13" s="470"/>
      <c r="U13" s="468"/>
      <c r="W13" s="470"/>
    </row>
    <row r="14" spans="1:12" s="469" customFormat="1" ht="33" customHeight="1">
      <c r="A14" s="506"/>
      <c r="B14" s="501" t="s">
        <v>436</v>
      </c>
      <c r="C14" s="496" t="s">
        <v>437</v>
      </c>
      <c r="D14" s="507"/>
      <c r="E14" s="508">
        <v>10</v>
      </c>
      <c r="F14" s="508">
        <v>10</v>
      </c>
      <c r="G14" s="508">
        <v>10</v>
      </c>
      <c r="H14" s="509">
        <v>0</v>
      </c>
      <c r="I14" s="509">
        <v>5</v>
      </c>
      <c r="J14" s="509">
        <v>35</v>
      </c>
      <c r="K14" s="509">
        <v>65</v>
      </c>
      <c r="L14" s="510"/>
    </row>
    <row r="15" spans="1:12" s="469" customFormat="1" ht="33" customHeight="1">
      <c r="A15" s="511" t="s">
        <v>418</v>
      </c>
      <c r="B15" s="512" t="s">
        <v>438</v>
      </c>
      <c r="C15" s="513"/>
      <c r="D15" s="514"/>
      <c r="E15" s="515"/>
      <c r="F15" s="515"/>
      <c r="G15" s="515"/>
      <c r="H15" s="515"/>
      <c r="I15" s="515"/>
      <c r="J15" s="515"/>
      <c r="K15" s="515"/>
      <c r="L15" s="510"/>
    </row>
    <row r="16" spans="1:12" s="469" customFormat="1" ht="27.75" customHeight="1">
      <c r="A16" s="516"/>
      <c r="B16" s="442"/>
      <c r="C16" s="437"/>
      <c r="D16" s="517"/>
      <c r="E16" s="518"/>
      <c r="F16" s="518"/>
      <c r="G16" s="518"/>
      <c r="H16" s="518"/>
      <c r="I16" s="518"/>
      <c r="J16" s="518"/>
      <c r="K16" s="518"/>
      <c r="L16" s="510"/>
    </row>
    <row r="17" spans="1:12" ht="6.75" customHeight="1">
      <c r="A17" s="519"/>
      <c r="B17" s="520"/>
      <c r="C17" s="521"/>
      <c r="D17" s="522"/>
      <c r="E17" s="523"/>
      <c r="F17" s="523"/>
      <c r="G17" s="523"/>
      <c r="H17" s="523"/>
      <c r="I17" s="523"/>
      <c r="J17" s="523"/>
      <c r="K17" s="523"/>
      <c r="L17" s="429"/>
    </row>
    <row r="18" spans="4:11" ht="16.5">
      <c r="D18" s="524"/>
      <c r="E18" s="525"/>
      <c r="F18" s="525"/>
      <c r="G18" s="525"/>
      <c r="H18" s="525"/>
      <c r="I18" s="525"/>
      <c r="J18" s="525"/>
      <c r="K18" s="525"/>
    </row>
    <row r="19" spans="2:11" ht="62.25" customHeight="1" hidden="1">
      <c r="B19" s="1205" t="s">
        <v>439</v>
      </c>
      <c r="C19" s="1205"/>
      <c r="D19" s="1205"/>
      <c r="E19" s="1205"/>
      <c r="F19" s="1205"/>
      <c r="G19" s="1205"/>
      <c r="H19" s="1205"/>
      <c r="I19" s="1205"/>
      <c r="J19" s="1205"/>
      <c r="K19" s="1205"/>
    </row>
    <row r="20" spans="5:11" ht="16.5">
      <c r="E20" s="460"/>
      <c r="F20" s="460"/>
      <c r="G20" s="460"/>
      <c r="H20" s="460"/>
      <c r="I20" s="460"/>
      <c r="J20" s="460"/>
      <c r="K20" s="460"/>
    </row>
    <row r="21" spans="5:11" ht="16.5">
      <c r="E21" s="460"/>
      <c r="F21" s="460"/>
      <c r="G21" s="460"/>
      <c r="H21" s="460"/>
      <c r="I21" s="460"/>
      <c r="J21" s="460"/>
      <c r="K21" s="460"/>
    </row>
    <row r="22" spans="2:23" ht="16.5">
      <c r="B22" s="458"/>
      <c r="E22" s="526"/>
      <c r="L22" s="527"/>
      <c r="N22" s="526"/>
      <c r="O22" s="527"/>
      <c r="Q22" s="526"/>
      <c r="R22" s="527"/>
      <c r="T22" s="526"/>
      <c r="U22" s="527"/>
      <c r="W22" s="526"/>
    </row>
    <row r="23" ht="49.5">
      <c r="B23" s="528" t="s">
        <v>440</v>
      </c>
    </row>
    <row r="28" ht="12.75" customHeight="1"/>
  </sheetData>
  <sheetProtection/>
  <mergeCells count="10">
    <mergeCell ref="J1:K1"/>
    <mergeCell ref="B2:K2"/>
    <mergeCell ref="A3:K3"/>
    <mergeCell ref="B19:K19"/>
    <mergeCell ref="A5:A6"/>
    <mergeCell ref="B5:B6"/>
    <mergeCell ref="C5:C6"/>
    <mergeCell ref="D5:D6"/>
    <mergeCell ref="E5:J5"/>
    <mergeCell ref="K5:K6"/>
  </mergeCells>
  <printOptions horizontalCentered="1"/>
  <pageMargins left="0.62992125984252" right="0.551181102362205" top="0.6" bottom="0.67" header="0.275590551181102" footer="0.393700787401575"/>
  <pageSetup fitToHeight="0" fitToWidth="1" horizontalDpi="600" verticalDpi="600" orientation="landscape" paperSize="9" scale="83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8"/>
  <sheetViews>
    <sheetView view="pageBreakPreview" zoomScale="85" zoomScaleNormal="70" zoomScaleSheetLayoutView="85" zoomScalePageLayoutView="0" workbookViewId="0" topLeftCell="A1">
      <selection activeCell="C17" sqref="C17"/>
    </sheetView>
  </sheetViews>
  <sheetFormatPr defaultColWidth="9.140625" defaultRowHeight="12.75"/>
  <cols>
    <col min="1" max="1" width="5.421875" style="461" customWidth="1"/>
    <col min="2" max="2" width="39.28125" style="422" customWidth="1"/>
    <col min="3" max="3" width="12.8515625" style="423" customWidth="1"/>
    <col min="4" max="4" width="16.140625" style="461" customWidth="1"/>
    <col min="5" max="5" width="11.57421875" style="421" customWidth="1"/>
    <col min="6" max="6" width="12.8515625" style="421" customWidth="1"/>
    <col min="7" max="7" width="12.57421875" style="421" customWidth="1"/>
    <col min="8" max="8" width="14.421875" style="421" customWidth="1"/>
    <col min="9" max="9" width="14.8515625" style="421" customWidth="1"/>
    <col min="10" max="10" width="23.00390625" style="421" customWidth="1"/>
    <col min="11" max="11" width="9.140625" style="421" customWidth="1"/>
    <col min="12" max="12" width="14.421875" style="421" bestFit="1" customWidth="1"/>
    <col min="13" max="13" width="10.140625" style="421" bestFit="1" customWidth="1"/>
    <col min="14" max="16384" width="9.140625" style="421" customWidth="1"/>
  </cols>
  <sheetData>
    <row r="1" spans="1:10" ht="36.75" customHeight="1">
      <c r="A1" s="421"/>
      <c r="B1" s="422" t="s">
        <v>441</v>
      </c>
      <c r="D1" s="423"/>
      <c r="H1" s="895"/>
      <c r="I1" s="756" t="s">
        <v>342</v>
      </c>
      <c r="J1" s="529" t="s">
        <v>331</v>
      </c>
    </row>
    <row r="2" spans="1:10" ht="21" customHeight="1">
      <c r="A2" s="421"/>
      <c r="B2" s="1198" t="s">
        <v>482</v>
      </c>
      <c r="C2" s="1198"/>
      <c r="D2" s="1198"/>
      <c r="E2" s="1198"/>
      <c r="F2" s="1198"/>
      <c r="G2" s="1198"/>
      <c r="H2" s="1198"/>
      <c r="I2" s="1198"/>
      <c r="J2" s="1198"/>
    </row>
    <row r="3" spans="1:10" ht="26.25" customHeight="1">
      <c r="A3" s="1203" t="s">
        <v>442</v>
      </c>
      <c r="B3" s="1203"/>
      <c r="C3" s="1203"/>
      <c r="D3" s="1203"/>
      <c r="E3" s="1203"/>
      <c r="F3" s="1203"/>
      <c r="G3" s="1203"/>
      <c r="H3" s="1203"/>
      <c r="I3" s="1203"/>
      <c r="J3" s="1203"/>
    </row>
    <row r="4" spans="1:10" ht="9.75" customHeight="1">
      <c r="A4" s="896"/>
      <c r="B4" s="897"/>
      <c r="C4" s="898"/>
      <c r="D4" s="896"/>
      <c r="E4" s="899"/>
      <c r="F4" s="899"/>
      <c r="G4" s="899"/>
      <c r="H4" s="899"/>
      <c r="I4" s="899"/>
      <c r="J4" s="899"/>
    </row>
    <row r="5" spans="1:10" s="530" customFormat="1" ht="51.75" customHeight="1">
      <c r="A5" s="433" t="s">
        <v>0</v>
      </c>
      <c r="B5" s="433" t="s">
        <v>287</v>
      </c>
      <c r="C5" s="433" t="s">
        <v>184</v>
      </c>
      <c r="D5" s="433" t="s">
        <v>365</v>
      </c>
      <c r="E5" s="433" t="s">
        <v>333</v>
      </c>
      <c r="F5" s="433" t="s">
        <v>334</v>
      </c>
      <c r="G5" s="433" t="s">
        <v>335</v>
      </c>
      <c r="H5" s="433" t="s">
        <v>336</v>
      </c>
      <c r="I5" s="433" t="s">
        <v>337</v>
      </c>
      <c r="J5" s="433" t="s">
        <v>338</v>
      </c>
    </row>
    <row r="6" spans="1:20" s="441" customFormat="1" ht="28.5" customHeight="1">
      <c r="A6" s="531" t="s">
        <v>443</v>
      </c>
      <c r="B6" s="532" t="s">
        <v>444</v>
      </c>
      <c r="C6" s="533"/>
      <c r="D6" s="534"/>
      <c r="E6" s="535"/>
      <c r="F6" s="536"/>
      <c r="G6" s="536"/>
      <c r="H6" s="536"/>
      <c r="I6" s="536"/>
      <c r="J6" s="537"/>
      <c r="K6" s="538"/>
      <c r="L6" s="539"/>
      <c r="N6" s="538"/>
      <c r="O6" s="539"/>
      <c r="Q6" s="538"/>
      <c r="R6" s="539"/>
      <c r="T6" s="538"/>
    </row>
    <row r="7" spans="1:20" ht="45" customHeight="1">
      <c r="A7" s="540"/>
      <c r="B7" s="541" t="s">
        <v>445</v>
      </c>
      <c r="C7" s="542" t="s">
        <v>308</v>
      </c>
      <c r="D7" s="543">
        <v>117.67</v>
      </c>
      <c r="E7" s="543">
        <v>114.27</v>
      </c>
      <c r="F7" s="543">
        <v>114.12</v>
      </c>
      <c r="G7" s="543">
        <v>114.21</v>
      </c>
      <c r="H7" s="543">
        <v>114.23</v>
      </c>
      <c r="I7" s="543">
        <v>114.42</v>
      </c>
      <c r="J7" s="960"/>
      <c r="K7" s="449"/>
      <c r="L7" s="544"/>
      <c r="N7" s="449"/>
      <c r="O7" s="447"/>
      <c r="P7" s="422"/>
      <c r="Q7" s="422"/>
      <c r="R7" s="422"/>
      <c r="S7" s="422"/>
      <c r="T7" s="422"/>
    </row>
    <row r="8" spans="1:20" s="441" customFormat="1" ht="24.75" customHeight="1">
      <c r="A8" s="435" t="s">
        <v>446</v>
      </c>
      <c r="B8" s="442" t="s">
        <v>447</v>
      </c>
      <c r="C8" s="433"/>
      <c r="D8" s="545"/>
      <c r="E8" s="546"/>
      <c r="F8" s="518"/>
      <c r="G8" s="518"/>
      <c r="H8" s="518"/>
      <c r="I8" s="518"/>
      <c r="J8" s="435"/>
      <c r="K8" s="434"/>
      <c r="L8" s="434"/>
      <c r="M8" s="434"/>
      <c r="N8" s="434"/>
      <c r="O8" s="434"/>
      <c r="P8" s="434"/>
      <c r="Q8" s="434"/>
      <c r="R8" s="434"/>
      <c r="S8" s="434"/>
      <c r="T8" s="434"/>
    </row>
    <row r="9" spans="1:20" ht="40.5" customHeight="1">
      <c r="A9" s="540"/>
      <c r="B9" s="547" t="s">
        <v>448</v>
      </c>
      <c r="C9" s="542" t="s">
        <v>308</v>
      </c>
      <c r="D9" s="543">
        <v>106.684972896707</v>
      </c>
      <c r="E9" s="543">
        <v>101.63339382940109</v>
      </c>
      <c r="F9" s="543">
        <v>102.67857142857142</v>
      </c>
      <c r="G9" s="543">
        <v>105.21739130434781</v>
      </c>
      <c r="H9" s="543">
        <v>104.95867768595042</v>
      </c>
      <c r="I9" s="543">
        <v>104.72440944881889</v>
      </c>
      <c r="J9" s="543">
        <v>103.83266700886169</v>
      </c>
      <c r="K9" s="434"/>
      <c r="L9" s="434"/>
      <c r="M9" s="434"/>
      <c r="N9" s="434"/>
      <c r="O9" s="434"/>
      <c r="P9" s="434"/>
      <c r="Q9" s="434"/>
      <c r="R9" s="434"/>
      <c r="S9" s="434"/>
      <c r="T9" s="434"/>
    </row>
    <row r="10" spans="1:20" ht="40.5" customHeight="1">
      <c r="A10" s="900"/>
      <c r="B10" s="901" t="s">
        <v>449</v>
      </c>
      <c r="C10" s="902" t="s">
        <v>308</v>
      </c>
      <c r="D10" s="543">
        <v>105.8444236797081</v>
      </c>
      <c r="E10" s="543">
        <v>102.6615969581749</v>
      </c>
      <c r="F10" s="543">
        <v>105.55555555555556</v>
      </c>
      <c r="G10" s="543">
        <v>105.26315789473684</v>
      </c>
      <c r="H10" s="543">
        <v>110.83333333333334</v>
      </c>
      <c r="I10" s="543">
        <v>105.26315789473684</v>
      </c>
      <c r="J10" s="543">
        <v>105.88207877201042</v>
      </c>
      <c r="K10" s="434"/>
      <c r="L10" s="434"/>
      <c r="M10" s="434"/>
      <c r="N10" s="434"/>
      <c r="O10" s="434"/>
      <c r="P10" s="434"/>
      <c r="Q10" s="434"/>
      <c r="R10" s="434"/>
      <c r="S10" s="434"/>
      <c r="T10" s="434"/>
    </row>
    <row r="11" spans="1:20" ht="40.5" customHeight="1">
      <c r="A11" s="900"/>
      <c r="B11" s="901" t="s">
        <v>450</v>
      </c>
      <c r="C11" s="902" t="s">
        <v>308</v>
      </c>
      <c r="D11" s="543">
        <v>107.2591315764735</v>
      </c>
      <c r="E11" s="543">
        <v>105.39875863684271</v>
      </c>
      <c r="F11" s="543">
        <v>105</v>
      </c>
      <c r="G11" s="543">
        <v>104.97354497354496</v>
      </c>
      <c r="H11" s="543">
        <v>104.9899193548387</v>
      </c>
      <c r="I11" s="543">
        <v>104.65674507921267</v>
      </c>
      <c r="J11" s="543">
        <v>105.0035293920277</v>
      </c>
      <c r="K11" s="434"/>
      <c r="L11" s="434"/>
      <c r="M11" s="434"/>
      <c r="N11" s="434"/>
      <c r="O11" s="434"/>
      <c r="P11" s="434"/>
      <c r="Q11" s="434"/>
      <c r="R11" s="434"/>
      <c r="S11" s="434"/>
      <c r="T11" s="434"/>
    </row>
    <row r="12" spans="1:20" ht="40.5" customHeight="1">
      <c r="A12" s="900"/>
      <c r="B12" s="901" t="s">
        <v>451</v>
      </c>
      <c r="C12" s="902" t="s">
        <v>308</v>
      </c>
      <c r="D12" s="543">
        <v>107.8306434423619</v>
      </c>
      <c r="E12" s="543">
        <v>101.01668404588114</v>
      </c>
      <c r="F12" s="543">
        <v>101.0752688172043</v>
      </c>
      <c r="G12" s="543">
        <v>105.85106382978724</v>
      </c>
      <c r="H12" s="543">
        <v>106.53266331658291</v>
      </c>
      <c r="I12" s="543">
        <v>105.66037735849056</v>
      </c>
      <c r="J12" s="543">
        <v>103.99815543407665</v>
      </c>
      <c r="K12" s="434"/>
      <c r="L12" s="434"/>
      <c r="M12" s="434"/>
      <c r="N12" s="434"/>
      <c r="O12" s="434"/>
      <c r="P12" s="434"/>
      <c r="Q12" s="434"/>
      <c r="R12" s="434"/>
      <c r="S12" s="434"/>
      <c r="T12" s="434"/>
    </row>
    <row r="13" spans="1:20" s="441" customFormat="1" ht="27.75" customHeight="1">
      <c r="A13" s="435" t="s">
        <v>452</v>
      </c>
      <c r="B13" s="436" t="s">
        <v>453</v>
      </c>
      <c r="C13" s="433"/>
      <c r="D13" s="545"/>
      <c r="E13" s="518"/>
      <c r="F13" s="518"/>
      <c r="G13" s="518"/>
      <c r="H13" s="518"/>
      <c r="I13" s="518"/>
      <c r="J13" s="435"/>
      <c r="P13" s="434"/>
      <c r="Q13" s="434"/>
      <c r="R13" s="434"/>
      <c r="S13" s="434"/>
      <c r="T13" s="434"/>
    </row>
    <row r="14" spans="1:10" ht="27" customHeight="1">
      <c r="A14" s="540"/>
      <c r="B14" s="547" t="s">
        <v>454</v>
      </c>
      <c r="C14" s="542" t="s">
        <v>311</v>
      </c>
      <c r="D14" s="383">
        <v>77.5</v>
      </c>
      <c r="E14" s="445">
        <v>78</v>
      </c>
      <c r="F14" s="445">
        <v>78.5</v>
      </c>
      <c r="G14" s="445">
        <v>79</v>
      </c>
      <c r="H14" s="445" t="s">
        <v>362</v>
      </c>
      <c r="I14" s="445">
        <v>80</v>
      </c>
      <c r="J14" s="445">
        <v>80</v>
      </c>
    </row>
    <row r="15" spans="1:10" ht="42" customHeight="1">
      <c r="A15" s="903"/>
      <c r="B15" s="901" t="s">
        <v>300</v>
      </c>
      <c r="C15" s="902" t="s">
        <v>311</v>
      </c>
      <c r="D15" s="885">
        <v>3.3</v>
      </c>
      <c r="E15" s="903">
        <v>4.5</v>
      </c>
      <c r="F15" s="903">
        <v>5.8</v>
      </c>
      <c r="G15" s="903">
        <v>7</v>
      </c>
      <c r="H15" s="903">
        <v>8</v>
      </c>
      <c r="I15" s="903">
        <v>10</v>
      </c>
      <c r="J15" s="903">
        <v>10</v>
      </c>
    </row>
    <row r="16" spans="1:10" s="441" customFormat="1" ht="24.75" customHeight="1">
      <c r="A16" s="435" t="s">
        <v>455</v>
      </c>
      <c r="B16" s="436" t="s">
        <v>456</v>
      </c>
      <c r="C16" s="433"/>
      <c r="D16" s="545"/>
      <c r="E16" s="518"/>
      <c r="F16" s="518"/>
      <c r="G16" s="518"/>
      <c r="H16" s="518"/>
      <c r="I16" s="518"/>
      <c r="J16" s="435"/>
    </row>
    <row r="17" spans="1:10" s="441" customFormat="1" ht="39" customHeight="1">
      <c r="A17" s="435"/>
      <c r="B17" s="547" t="s">
        <v>457</v>
      </c>
      <c r="C17" s="904" t="s">
        <v>709</v>
      </c>
      <c r="D17" s="440">
        <v>333.8</v>
      </c>
      <c r="E17" s="961">
        <v>90</v>
      </c>
      <c r="F17" s="961">
        <v>120</v>
      </c>
      <c r="G17" s="961">
        <v>155</v>
      </c>
      <c r="H17" s="961">
        <v>190</v>
      </c>
      <c r="I17" s="961">
        <v>220</v>
      </c>
      <c r="J17" s="962">
        <v>620</v>
      </c>
    </row>
    <row r="18" spans="1:10" s="441" customFormat="1" ht="39.75" customHeight="1">
      <c r="A18" s="435"/>
      <c r="B18" s="547" t="s">
        <v>458</v>
      </c>
      <c r="C18" s="904" t="s">
        <v>709</v>
      </c>
      <c r="D18" s="440">
        <v>1852</v>
      </c>
      <c r="E18" s="961">
        <v>430</v>
      </c>
      <c r="F18" s="961">
        <v>490</v>
      </c>
      <c r="G18" s="961">
        <v>535</v>
      </c>
      <c r="H18" s="961">
        <v>610</v>
      </c>
      <c r="I18" s="961">
        <v>650</v>
      </c>
      <c r="J18" s="962">
        <v>2180</v>
      </c>
    </row>
    <row r="19" spans="1:10" ht="16.5">
      <c r="A19" s="454"/>
      <c r="B19" s="455"/>
      <c r="C19" s="430"/>
      <c r="D19" s="524"/>
      <c r="E19" s="525"/>
      <c r="F19" s="525"/>
      <c r="G19" s="525"/>
      <c r="H19" s="525"/>
      <c r="I19" s="525"/>
      <c r="J19" s="866"/>
    </row>
    <row r="20" spans="1:10" ht="28.5" customHeight="1">
      <c r="A20" s="896"/>
      <c r="B20" s="1208"/>
      <c r="C20" s="1208"/>
      <c r="D20" s="1208"/>
      <c r="E20" s="905"/>
      <c r="F20" s="905"/>
      <c r="G20" s="905"/>
      <c r="H20" s="905"/>
      <c r="I20" s="905" t="s">
        <v>527</v>
      </c>
      <c r="J20" s="899"/>
    </row>
    <row r="21" spans="1:10" ht="16.5">
      <c r="A21" s="896"/>
      <c r="B21" s="897"/>
      <c r="C21" s="898"/>
      <c r="D21" s="896"/>
      <c r="E21" s="899"/>
      <c r="F21" s="899"/>
      <c r="G21" s="899"/>
      <c r="H21" s="899"/>
      <c r="I21" s="899"/>
      <c r="J21" s="899"/>
    </row>
    <row r="22" spans="1:10" ht="16.5">
      <c r="A22" s="896"/>
      <c r="B22" s="897"/>
      <c r="C22" s="898"/>
      <c r="D22" s="896"/>
      <c r="E22" s="899"/>
      <c r="F22" s="899"/>
      <c r="G22" s="899"/>
      <c r="H22" s="899"/>
      <c r="I22" s="899"/>
      <c r="J22" s="899"/>
    </row>
    <row r="23" spans="1:10" ht="16.5">
      <c r="A23" s="896"/>
      <c r="B23" s="897"/>
      <c r="C23" s="898"/>
      <c r="D23" s="896"/>
      <c r="E23" s="899"/>
      <c r="F23" s="899"/>
      <c r="G23" s="899"/>
      <c r="H23" s="899"/>
      <c r="I23" s="899"/>
      <c r="J23" s="899"/>
    </row>
    <row r="24" spans="1:10" ht="16.5">
      <c r="A24" s="896"/>
      <c r="B24" s="897"/>
      <c r="C24" s="898"/>
      <c r="D24" s="896"/>
      <c r="E24" s="899"/>
      <c r="F24" s="899"/>
      <c r="G24" s="899"/>
      <c r="H24" s="899"/>
      <c r="I24" s="899"/>
      <c r="J24" s="899"/>
    </row>
    <row r="25" spans="1:10" ht="16.5">
      <c r="A25" s="896"/>
      <c r="B25" s="897"/>
      <c r="C25" s="898"/>
      <c r="D25" s="896"/>
      <c r="E25" s="899"/>
      <c r="F25" s="899"/>
      <c r="G25" s="899"/>
      <c r="H25" s="899"/>
      <c r="I25" s="899"/>
      <c r="J25" s="899"/>
    </row>
    <row r="26" spans="1:10" ht="16.5">
      <c r="A26" s="896"/>
      <c r="B26" s="897"/>
      <c r="C26" s="898"/>
      <c r="D26" s="896"/>
      <c r="E26" s="899"/>
      <c r="F26" s="899"/>
      <c r="G26" s="899"/>
      <c r="H26" s="899"/>
      <c r="I26" s="899"/>
      <c r="J26" s="899"/>
    </row>
    <row r="27" spans="1:10" ht="12.75" customHeight="1">
      <c r="A27" s="896"/>
      <c r="B27" s="897"/>
      <c r="C27" s="898"/>
      <c r="D27" s="896"/>
      <c r="E27" s="899"/>
      <c r="F27" s="899"/>
      <c r="G27" s="899"/>
      <c r="H27" s="899"/>
      <c r="I27" s="899"/>
      <c r="J27" s="899"/>
    </row>
    <row r="28" spans="1:10" ht="16.5">
      <c r="A28" s="896"/>
      <c r="B28" s="897"/>
      <c r="C28" s="898"/>
      <c r="D28" s="896"/>
      <c r="E28" s="899"/>
      <c r="F28" s="899"/>
      <c r="G28" s="899"/>
      <c r="H28" s="899"/>
      <c r="I28" s="899"/>
      <c r="J28" s="899"/>
    </row>
    <row r="29" spans="1:10" ht="16.5">
      <c r="A29" s="896"/>
      <c r="B29" s="897"/>
      <c r="C29" s="898"/>
      <c r="D29" s="896"/>
      <c r="E29" s="899"/>
      <c r="F29" s="899"/>
      <c r="G29" s="899"/>
      <c r="H29" s="899"/>
      <c r="I29" s="899"/>
      <c r="J29" s="899"/>
    </row>
    <row r="30" spans="1:10" ht="16.5">
      <c r="A30" s="896"/>
      <c r="B30" s="897"/>
      <c r="C30" s="898"/>
      <c r="D30" s="896"/>
      <c r="E30" s="899"/>
      <c r="F30" s="899"/>
      <c r="G30" s="899"/>
      <c r="H30" s="899"/>
      <c r="I30" s="899"/>
      <c r="J30" s="899"/>
    </row>
    <row r="31" spans="1:20" ht="16.5">
      <c r="A31" s="896"/>
      <c r="B31" s="906"/>
      <c r="C31" s="898"/>
      <c r="D31" s="896"/>
      <c r="E31" s="907"/>
      <c r="F31" s="899"/>
      <c r="G31" s="899"/>
      <c r="H31" s="899"/>
      <c r="I31" s="899"/>
      <c r="J31" s="899"/>
      <c r="K31" s="449"/>
      <c r="L31" s="447"/>
      <c r="N31" s="449"/>
      <c r="O31" s="447"/>
      <c r="Q31" s="449"/>
      <c r="R31" s="447"/>
      <c r="T31" s="449"/>
    </row>
    <row r="32" spans="1:10" ht="16.5">
      <c r="A32" s="896"/>
      <c r="B32" s="897"/>
      <c r="C32" s="898"/>
      <c r="D32" s="896"/>
      <c r="E32" s="899"/>
      <c r="F32" s="899"/>
      <c r="G32" s="899"/>
      <c r="H32" s="899"/>
      <c r="I32" s="899"/>
      <c r="J32" s="899"/>
    </row>
    <row r="33" spans="1:10" ht="16.5">
      <c r="A33" s="896"/>
      <c r="B33" s="897"/>
      <c r="C33" s="898"/>
      <c r="D33" s="896"/>
      <c r="E33" s="899"/>
      <c r="F33" s="899"/>
      <c r="G33" s="899"/>
      <c r="H33" s="899"/>
      <c r="I33" s="899"/>
      <c r="J33" s="899"/>
    </row>
    <row r="34" spans="1:10" ht="16.5">
      <c r="A34" s="896"/>
      <c r="B34" s="897"/>
      <c r="C34" s="898"/>
      <c r="D34" s="896"/>
      <c r="E34" s="899"/>
      <c r="F34" s="899"/>
      <c r="G34" s="899"/>
      <c r="H34" s="899"/>
      <c r="I34" s="899"/>
      <c r="J34" s="899"/>
    </row>
    <row r="35" spans="1:10" ht="16.5">
      <c r="A35" s="896"/>
      <c r="B35" s="897"/>
      <c r="C35" s="898"/>
      <c r="D35" s="896"/>
      <c r="E35" s="899"/>
      <c r="F35" s="899"/>
      <c r="G35" s="899"/>
      <c r="H35" s="899"/>
      <c r="I35" s="899"/>
      <c r="J35" s="899"/>
    </row>
    <row r="36" spans="1:10" ht="16.5">
      <c r="A36" s="896"/>
      <c r="B36" s="897"/>
      <c r="C36" s="898"/>
      <c r="D36" s="896"/>
      <c r="E36" s="899"/>
      <c r="F36" s="899"/>
      <c r="G36" s="899"/>
      <c r="H36" s="899"/>
      <c r="I36" s="899"/>
      <c r="J36" s="899"/>
    </row>
    <row r="37" spans="1:10" ht="16.5">
      <c r="A37" s="896"/>
      <c r="B37" s="897"/>
      <c r="C37" s="898"/>
      <c r="D37" s="896"/>
      <c r="E37" s="899"/>
      <c r="F37" s="899"/>
      <c r="G37" s="899"/>
      <c r="H37" s="899"/>
      <c r="I37" s="899"/>
      <c r="J37" s="899"/>
    </row>
    <row r="38" spans="1:10" ht="16.5">
      <c r="A38" s="896"/>
      <c r="B38" s="897"/>
      <c r="C38" s="898"/>
      <c r="D38" s="896"/>
      <c r="E38" s="899"/>
      <c r="F38" s="899"/>
      <c r="G38" s="899"/>
      <c r="H38" s="899"/>
      <c r="I38" s="899"/>
      <c r="J38" s="899"/>
    </row>
    <row r="39" spans="1:10" ht="16.5">
      <c r="A39" s="896"/>
      <c r="B39" s="897"/>
      <c r="C39" s="898"/>
      <c r="D39" s="896"/>
      <c r="E39" s="899"/>
      <c r="F39" s="899"/>
      <c r="G39" s="899"/>
      <c r="H39" s="899"/>
      <c r="I39" s="899"/>
      <c r="J39" s="899"/>
    </row>
    <row r="40" spans="1:10" ht="16.5">
      <c r="A40" s="896"/>
      <c r="B40" s="897"/>
      <c r="C40" s="898"/>
      <c r="D40" s="896"/>
      <c r="E40" s="899"/>
      <c r="F40" s="899"/>
      <c r="G40" s="899"/>
      <c r="H40" s="899"/>
      <c r="I40" s="899"/>
      <c r="J40" s="899"/>
    </row>
    <row r="41" spans="1:10" ht="16.5">
      <c r="A41" s="896"/>
      <c r="B41" s="897"/>
      <c r="C41" s="898"/>
      <c r="D41" s="896"/>
      <c r="E41" s="899"/>
      <c r="F41" s="899"/>
      <c r="G41" s="899"/>
      <c r="H41" s="899"/>
      <c r="I41" s="899"/>
      <c r="J41" s="899"/>
    </row>
    <row r="42" spans="1:10" ht="16.5">
      <c r="A42" s="896"/>
      <c r="B42" s="897"/>
      <c r="C42" s="898"/>
      <c r="D42" s="896"/>
      <c r="E42" s="899"/>
      <c r="F42" s="899"/>
      <c r="G42" s="899"/>
      <c r="H42" s="899"/>
      <c r="I42" s="899"/>
      <c r="J42" s="899"/>
    </row>
    <row r="43" spans="1:10" ht="16.5">
      <c r="A43" s="896"/>
      <c r="B43" s="897"/>
      <c r="C43" s="898"/>
      <c r="D43" s="896"/>
      <c r="E43" s="899"/>
      <c r="F43" s="899"/>
      <c r="G43" s="899"/>
      <c r="H43" s="899"/>
      <c r="I43" s="899"/>
      <c r="J43" s="899"/>
    </row>
    <row r="44" spans="1:10" ht="16.5">
      <c r="A44" s="896"/>
      <c r="B44" s="897"/>
      <c r="C44" s="898"/>
      <c r="D44" s="896"/>
      <c r="E44" s="899"/>
      <c r="F44" s="899"/>
      <c r="G44" s="899"/>
      <c r="H44" s="899"/>
      <c r="I44" s="899"/>
      <c r="J44" s="899"/>
    </row>
    <row r="45" spans="1:10" ht="16.5">
      <c r="A45" s="896"/>
      <c r="B45" s="897"/>
      <c r="C45" s="898"/>
      <c r="D45" s="896"/>
      <c r="E45" s="899"/>
      <c r="F45" s="899"/>
      <c r="G45" s="899"/>
      <c r="H45" s="899"/>
      <c r="I45" s="899"/>
      <c r="J45" s="899"/>
    </row>
    <row r="46" spans="1:10" ht="16.5">
      <c r="A46" s="896"/>
      <c r="B46" s="897"/>
      <c r="C46" s="898"/>
      <c r="D46" s="896"/>
      <c r="E46" s="899"/>
      <c r="F46" s="899"/>
      <c r="G46" s="899"/>
      <c r="H46" s="899"/>
      <c r="I46" s="899"/>
      <c r="J46" s="899"/>
    </row>
    <row r="47" spans="1:10" ht="16.5">
      <c r="A47" s="896"/>
      <c r="B47" s="897"/>
      <c r="C47" s="898"/>
      <c r="D47" s="896"/>
      <c r="E47" s="899"/>
      <c r="F47" s="899"/>
      <c r="G47" s="899"/>
      <c r="H47" s="899"/>
      <c r="I47" s="899"/>
      <c r="J47" s="899"/>
    </row>
    <row r="48" spans="1:10" ht="16.5">
      <c r="A48" s="896"/>
      <c r="B48" s="897"/>
      <c r="C48" s="898"/>
      <c r="D48" s="896"/>
      <c r="E48" s="899"/>
      <c r="F48" s="899"/>
      <c r="G48" s="899"/>
      <c r="H48" s="899"/>
      <c r="I48" s="899"/>
      <c r="J48" s="899"/>
    </row>
    <row r="49" spans="1:10" ht="16.5">
      <c r="A49" s="896"/>
      <c r="B49" s="897"/>
      <c r="C49" s="898"/>
      <c r="D49" s="896"/>
      <c r="E49" s="899"/>
      <c r="F49" s="899"/>
      <c r="G49" s="899"/>
      <c r="H49" s="899"/>
      <c r="I49" s="899"/>
      <c r="J49" s="899"/>
    </row>
    <row r="50" spans="1:10" ht="16.5">
      <c r="A50" s="896"/>
      <c r="B50" s="897"/>
      <c r="C50" s="898"/>
      <c r="D50" s="896"/>
      <c r="E50" s="899"/>
      <c r="F50" s="899"/>
      <c r="G50" s="899"/>
      <c r="H50" s="899"/>
      <c r="I50" s="899"/>
      <c r="J50" s="899"/>
    </row>
    <row r="51" spans="1:10" ht="16.5">
      <c r="A51" s="896"/>
      <c r="B51" s="897"/>
      <c r="C51" s="898"/>
      <c r="D51" s="896"/>
      <c r="E51" s="899"/>
      <c r="F51" s="899"/>
      <c r="G51" s="899"/>
      <c r="H51" s="899"/>
      <c r="I51" s="899"/>
      <c r="J51" s="899"/>
    </row>
    <row r="52" spans="1:10" ht="16.5">
      <c r="A52" s="896"/>
      <c r="B52" s="897"/>
      <c r="C52" s="898"/>
      <c r="D52" s="896"/>
      <c r="E52" s="899"/>
      <c r="F52" s="899"/>
      <c r="G52" s="899"/>
      <c r="H52" s="899"/>
      <c r="I52" s="899"/>
      <c r="J52" s="899"/>
    </row>
    <row r="53" spans="1:10" ht="16.5">
      <c r="A53" s="896"/>
      <c r="B53" s="897"/>
      <c r="C53" s="898"/>
      <c r="D53" s="896"/>
      <c r="E53" s="899"/>
      <c r="F53" s="899"/>
      <c r="G53" s="899"/>
      <c r="H53" s="899"/>
      <c r="I53" s="899"/>
      <c r="J53" s="899"/>
    </row>
    <row r="54" spans="1:10" ht="16.5">
      <c r="A54" s="896"/>
      <c r="B54" s="897"/>
      <c r="C54" s="898"/>
      <c r="D54" s="896"/>
      <c r="E54" s="899"/>
      <c r="F54" s="899"/>
      <c r="G54" s="899"/>
      <c r="H54" s="899"/>
      <c r="I54" s="899"/>
      <c r="J54" s="899"/>
    </row>
    <row r="55" spans="1:10" ht="16.5">
      <c r="A55" s="896"/>
      <c r="B55" s="897"/>
      <c r="C55" s="898"/>
      <c r="D55" s="896"/>
      <c r="E55" s="899"/>
      <c r="F55" s="899"/>
      <c r="G55" s="899"/>
      <c r="H55" s="899"/>
      <c r="I55" s="899"/>
      <c r="J55" s="899"/>
    </row>
    <row r="56" spans="1:10" ht="16.5">
      <c r="A56" s="896"/>
      <c r="B56" s="897"/>
      <c r="C56" s="898"/>
      <c r="D56" s="896"/>
      <c r="E56" s="899"/>
      <c r="F56" s="899"/>
      <c r="G56" s="899"/>
      <c r="H56" s="899"/>
      <c r="I56" s="899"/>
      <c r="J56" s="899"/>
    </row>
    <row r="57" spans="1:10" ht="16.5">
      <c r="A57" s="896"/>
      <c r="B57" s="897"/>
      <c r="C57" s="898"/>
      <c r="D57" s="896"/>
      <c r="E57" s="899"/>
      <c r="F57" s="899"/>
      <c r="G57" s="899"/>
      <c r="H57" s="899"/>
      <c r="I57" s="899"/>
      <c r="J57" s="899"/>
    </row>
    <row r="58" spans="1:10" ht="16.5">
      <c r="A58" s="896"/>
      <c r="B58" s="897"/>
      <c r="C58" s="898"/>
      <c r="D58" s="896"/>
      <c r="E58" s="899"/>
      <c r="F58" s="899"/>
      <c r="G58" s="899"/>
      <c r="H58" s="899"/>
      <c r="I58" s="899"/>
      <c r="J58" s="899"/>
    </row>
    <row r="59" spans="1:10" ht="16.5">
      <c r="A59" s="896"/>
      <c r="B59" s="897"/>
      <c r="C59" s="898"/>
      <c r="D59" s="896"/>
      <c r="E59" s="899"/>
      <c r="F59" s="899"/>
      <c r="G59" s="899"/>
      <c r="H59" s="899"/>
      <c r="I59" s="899"/>
      <c r="J59" s="899"/>
    </row>
    <row r="60" spans="1:10" ht="16.5">
      <c r="A60" s="896"/>
      <c r="B60" s="897"/>
      <c r="C60" s="898"/>
      <c r="D60" s="896"/>
      <c r="E60" s="899"/>
      <c r="F60" s="899"/>
      <c r="G60" s="899"/>
      <c r="H60" s="899"/>
      <c r="I60" s="899"/>
      <c r="J60" s="899"/>
    </row>
    <row r="61" spans="1:10" ht="16.5">
      <c r="A61" s="896"/>
      <c r="B61" s="897"/>
      <c r="C61" s="898"/>
      <c r="D61" s="896"/>
      <c r="E61" s="899"/>
      <c r="F61" s="899"/>
      <c r="G61" s="899"/>
      <c r="H61" s="899"/>
      <c r="I61" s="899"/>
      <c r="J61" s="899"/>
    </row>
    <row r="62" spans="1:10" ht="16.5">
      <c r="A62" s="896"/>
      <c r="B62" s="897"/>
      <c r="C62" s="898"/>
      <c r="D62" s="896"/>
      <c r="E62" s="899"/>
      <c r="F62" s="899"/>
      <c r="G62" s="899"/>
      <c r="H62" s="899"/>
      <c r="I62" s="899"/>
      <c r="J62" s="899"/>
    </row>
    <row r="63" spans="1:10" ht="16.5">
      <c r="A63" s="896"/>
      <c r="B63" s="897"/>
      <c r="C63" s="898"/>
      <c r="D63" s="896"/>
      <c r="E63" s="899"/>
      <c r="F63" s="899"/>
      <c r="G63" s="899"/>
      <c r="H63" s="899"/>
      <c r="I63" s="899"/>
      <c r="J63" s="899"/>
    </row>
    <row r="64" spans="1:10" ht="16.5">
      <c r="A64" s="896"/>
      <c r="B64" s="897"/>
      <c r="C64" s="898"/>
      <c r="D64" s="896"/>
      <c r="E64" s="899"/>
      <c r="F64" s="899"/>
      <c r="G64" s="899"/>
      <c r="H64" s="899"/>
      <c r="I64" s="899"/>
      <c r="J64" s="899"/>
    </row>
    <row r="65" spans="1:10" ht="16.5">
      <c r="A65" s="896"/>
      <c r="B65" s="897"/>
      <c r="C65" s="898"/>
      <c r="D65" s="896"/>
      <c r="E65" s="899"/>
      <c r="F65" s="899"/>
      <c r="G65" s="899"/>
      <c r="H65" s="899"/>
      <c r="I65" s="899"/>
      <c r="J65" s="899"/>
    </row>
    <row r="66" spans="1:10" ht="16.5">
      <c r="A66" s="896"/>
      <c r="B66" s="897"/>
      <c r="C66" s="898"/>
      <c r="D66" s="896"/>
      <c r="E66" s="899"/>
      <c r="F66" s="899"/>
      <c r="G66" s="899"/>
      <c r="H66" s="899"/>
      <c r="I66" s="899"/>
      <c r="J66" s="899"/>
    </row>
    <row r="67" spans="1:10" ht="16.5">
      <c r="A67" s="896"/>
      <c r="B67" s="897"/>
      <c r="C67" s="898"/>
      <c r="D67" s="896"/>
      <c r="E67" s="899"/>
      <c r="F67" s="899"/>
      <c r="G67" s="899"/>
      <c r="H67" s="899"/>
      <c r="I67" s="899"/>
      <c r="J67" s="899"/>
    </row>
    <row r="68" spans="1:10" ht="16.5">
      <c r="A68" s="896"/>
      <c r="B68" s="897"/>
      <c r="C68" s="898"/>
      <c r="D68" s="896"/>
      <c r="E68" s="899"/>
      <c r="F68" s="899"/>
      <c r="G68" s="899"/>
      <c r="H68" s="899"/>
      <c r="I68" s="899"/>
      <c r="J68" s="899"/>
    </row>
    <row r="69" spans="1:10" ht="16.5">
      <c r="A69" s="896"/>
      <c r="B69" s="897"/>
      <c r="C69" s="898"/>
      <c r="D69" s="896"/>
      <c r="E69" s="899"/>
      <c r="F69" s="899"/>
      <c r="G69" s="899"/>
      <c r="H69" s="899"/>
      <c r="I69" s="899"/>
      <c r="J69" s="899"/>
    </row>
    <row r="70" spans="1:10" ht="16.5">
      <c r="A70" s="896"/>
      <c r="B70" s="897"/>
      <c r="C70" s="898"/>
      <c r="D70" s="896"/>
      <c r="E70" s="899"/>
      <c r="F70" s="899"/>
      <c r="G70" s="899"/>
      <c r="H70" s="899"/>
      <c r="I70" s="899"/>
      <c r="J70" s="899"/>
    </row>
    <row r="71" spans="1:10" ht="16.5">
      <c r="A71" s="896"/>
      <c r="B71" s="897"/>
      <c r="C71" s="898"/>
      <c r="D71" s="896"/>
      <c r="E71" s="899"/>
      <c r="F71" s="899"/>
      <c r="G71" s="899"/>
      <c r="H71" s="899"/>
      <c r="I71" s="899"/>
      <c r="J71" s="899"/>
    </row>
    <row r="72" spans="1:10" ht="16.5">
      <c r="A72" s="896"/>
      <c r="B72" s="897"/>
      <c r="C72" s="898"/>
      <c r="D72" s="896"/>
      <c r="E72" s="899"/>
      <c r="F72" s="899"/>
      <c r="G72" s="899"/>
      <c r="H72" s="899"/>
      <c r="I72" s="899"/>
      <c r="J72" s="899"/>
    </row>
    <row r="73" spans="1:10" ht="16.5">
      <c r="A73" s="896"/>
      <c r="B73" s="897"/>
      <c r="C73" s="898"/>
      <c r="D73" s="896"/>
      <c r="E73" s="899"/>
      <c r="F73" s="899"/>
      <c r="G73" s="899"/>
      <c r="H73" s="899"/>
      <c r="I73" s="899"/>
      <c r="J73" s="899"/>
    </row>
    <row r="74" spans="1:10" ht="16.5">
      <c r="A74" s="896"/>
      <c r="B74" s="897"/>
      <c r="C74" s="898"/>
      <c r="D74" s="896"/>
      <c r="E74" s="899"/>
      <c r="F74" s="899"/>
      <c r="G74" s="899"/>
      <c r="H74" s="899"/>
      <c r="I74" s="899"/>
      <c r="J74" s="899"/>
    </row>
    <row r="75" spans="1:10" ht="16.5">
      <c r="A75" s="896"/>
      <c r="B75" s="897"/>
      <c r="C75" s="898"/>
      <c r="D75" s="896"/>
      <c r="E75" s="899"/>
      <c r="F75" s="899"/>
      <c r="G75" s="899"/>
      <c r="H75" s="899"/>
      <c r="I75" s="899"/>
      <c r="J75" s="899"/>
    </row>
    <row r="76" spans="1:10" ht="16.5">
      <c r="A76" s="896"/>
      <c r="B76" s="897"/>
      <c r="C76" s="898"/>
      <c r="D76" s="896"/>
      <c r="E76" s="899"/>
      <c r="F76" s="899"/>
      <c r="G76" s="899"/>
      <c r="H76" s="899"/>
      <c r="I76" s="899"/>
      <c r="J76" s="899"/>
    </row>
    <row r="77" spans="1:10" ht="16.5">
      <c r="A77" s="896"/>
      <c r="B77" s="897"/>
      <c r="C77" s="898"/>
      <c r="D77" s="896"/>
      <c r="E77" s="899"/>
      <c r="F77" s="899"/>
      <c r="G77" s="899"/>
      <c r="H77" s="899"/>
      <c r="I77" s="899"/>
      <c r="J77" s="899"/>
    </row>
    <row r="78" spans="1:10" ht="16.5">
      <c r="A78" s="896"/>
      <c r="B78" s="897"/>
      <c r="C78" s="898"/>
      <c r="D78" s="896"/>
      <c r="E78" s="899"/>
      <c r="F78" s="899"/>
      <c r="G78" s="899"/>
      <c r="H78" s="899"/>
      <c r="I78" s="899"/>
      <c r="J78" s="899"/>
    </row>
    <row r="79" spans="1:10" ht="16.5">
      <c r="A79" s="896"/>
      <c r="B79" s="897"/>
      <c r="C79" s="898"/>
      <c r="D79" s="896"/>
      <c r="E79" s="899"/>
      <c r="F79" s="899"/>
      <c r="G79" s="899"/>
      <c r="H79" s="899"/>
      <c r="I79" s="899"/>
      <c r="J79" s="899"/>
    </row>
    <row r="80" spans="1:10" ht="16.5">
      <c r="A80" s="896"/>
      <c r="B80" s="897"/>
      <c r="C80" s="898"/>
      <c r="D80" s="896"/>
      <c r="E80" s="899"/>
      <c r="F80" s="899"/>
      <c r="G80" s="899"/>
      <c r="H80" s="899"/>
      <c r="I80" s="899"/>
      <c r="J80" s="899"/>
    </row>
    <row r="81" spans="1:10" ht="16.5">
      <c r="A81" s="896"/>
      <c r="B81" s="897"/>
      <c r="C81" s="898"/>
      <c r="D81" s="896"/>
      <c r="E81" s="899"/>
      <c r="F81" s="899"/>
      <c r="G81" s="899"/>
      <c r="H81" s="899"/>
      <c r="I81" s="899"/>
      <c r="J81" s="899"/>
    </row>
    <row r="82" spans="1:10" ht="16.5">
      <c r="A82" s="896"/>
      <c r="B82" s="897"/>
      <c r="C82" s="898"/>
      <c r="D82" s="896"/>
      <c r="E82" s="899"/>
      <c r="F82" s="899"/>
      <c r="G82" s="899"/>
      <c r="H82" s="899"/>
      <c r="I82" s="899"/>
      <c r="J82" s="899"/>
    </row>
    <row r="83" spans="1:10" ht="16.5">
      <c r="A83" s="896"/>
      <c r="B83" s="897"/>
      <c r="C83" s="898"/>
      <c r="D83" s="896"/>
      <c r="E83" s="899"/>
      <c r="F83" s="899"/>
      <c r="G83" s="899"/>
      <c r="H83" s="899"/>
      <c r="I83" s="899"/>
      <c r="J83" s="899"/>
    </row>
    <row r="84" spans="1:10" ht="16.5">
      <c r="A84" s="896"/>
      <c r="B84" s="897"/>
      <c r="C84" s="898"/>
      <c r="D84" s="896"/>
      <c r="E84" s="899"/>
      <c r="F84" s="899"/>
      <c r="G84" s="899"/>
      <c r="H84" s="899"/>
      <c r="I84" s="899"/>
      <c r="J84" s="899"/>
    </row>
    <row r="85" spans="1:10" ht="16.5">
      <c r="A85" s="896"/>
      <c r="B85" s="897"/>
      <c r="C85" s="898"/>
      <c r="D85" s="896"/>
      <c r="E85" s="899"/>
      <c r="F85" s="899"/>
      <c r="G85" s="899"/>
      <c r="H85" s="899"/>
      <c r="I85" s="899"/>
      <c r="J85" s="899"/>
    </row>
    <row r="86" spans="1:10" ht="16.5">
      <c r="A86" s="896"/>
      <c r="B86" s="897"/>
      <c r="C86" s="898"/>
      <c r="D86" s="896"/>
      <c r="E86" s="899"/>
      <c r="F86" s="899"/>
      <c r="G86" s="899"/>
      <c r="H86" s="899"/>
      <c r="I86" s="899"/>
      <c r="J86" s="899"/>
    </row>
    <row r="87" spans="1:10" ht="16.5">
      <c r="A87" s="896"/>
      <c r="B87" s="897"/>
      <c r="C87" s="898"/>
      <c r="D87" s="896"/>
      <c r="E87" s="899"/>
      <c r="F87" s="899"/>
      <c r="G87" s="899"/>
      <c r="H87" s="899"/>
      <c r="I87" s="899"/>
      <c r="J87" s="899"/>
    </row>
    <row r="88" spans="1:10" ht="16.5">
      <c r="A88" s="896"/>
      <c r="B88" s="897"/>
      <c r="C88" s="898"/>
      <c r="D88" s="896"/>
      <c r="E88" s="899"/>
      <c r="F88" s="899"/>
      <c r="G88" s="899"/>
      <c r="H88" s="899"/>
      <c r="I88" s="899"/>
      <c r="J88" s="899"/>
    </row>
    <row r="89" spans="1:10" ht="16.5">
      <c r="A89" s="896"/>
      <c r="B89" s="897"/>
      <c r="C89" s="898"/>
      <c r="D89" s="896"/>
      <c r="E89" s="899"/>
      <c r="F89" s="899"/>
      <c r="G89" s="899"/>
      <c r="H89" s="899"/>
      <c r="I89" s="899"/>
      <c r="J89" s="899"/>
    </row>
    <row r="90" spans="1:10" ht="16.5">
      <c r="A90" s="896"/>
      <c r="B90" s="897"/>
      <c r="C90" s="898"/>
      <c r="D90" s="896"/>
      <c r="E90" s="899"/>
      <c r="F90" s="899"/>
      <c r="G90" s="899"/>
      <c r="H90" s="899"/>
      <c r="I90" s="899"/>
      <c r="J90" s="899"/>
    </row>
    <row r="91" spans="1:10" ht="16.5">
      <c r="A91" s="896"/>
      <c r="B91" s="897"/>
      <c r="C91" s="898"/>
      <c r="D91" s="896"/>
      <c r="E91" s="899"/>
      <c r="F91" s="899"/>
      <c r="G91" s="899"/>
      <c r="H91" s="899"/>
      <c r="I91" s="899"/>
      <c r="J91" s="899"/>
    </row>
    <row r="92" spans="1:10" ht="16.5">
      <c r="A92" s="896"/>
      <c r="B92" s="897"/>
      <c r="C92" s="898"/>
      <c r="D92" s="896"/>
      <c r="E92" s="899"/>
      <c r="F92" s="899"/>
      <c r="G92" s="899"/>
      <c r="H92" s="899"/>
      <c r="I92" s="899"/>
      <c r="J92" s="899"/>
    </row>
    <row r="93" spans="1:10" ht="16.5">
      <c r="A93" s="896"/>
      <c r="B93" s="897"/>
      <c r="C93" s="898"/>
      <c r="D93" s="896"/>
      <c r="E93" s="899"/>
      <c r="F93" s="899"/>
      <c r="G93" s="899"/>
      <c r="H93" s="899"/>
      <c r="I93" s="899"/>
      <c r="J93" s="899"/>
    </row>
    <row r="94" spans="1:10" ht="16.5">
      <c r="A94" s="896"/>
      <c r="B94" s="897"/>
      <c r="C94" s="898"/>
      <c r="D94" s="896"/>
      <c r="E94" s="899"/>
      <c r="F94" s="899"/>
      <c r="G94" s="899"/>
      <c r="H94" s="899"/>
      <c r="I94" s="899"/>
      <c r="J94" s="899"/>
    </row>
    <row r="95" spans="1:10" ht="16.5">
      <c r="A95" s="896"/>
      <c r="B95" s="897"/>
      <c r="C95" s="898"/>
      <c r="D95" s="896"/>
      <c r="E95" s="899"/>
      <c r="F95" s="899"/>
      <c r="G95" s="899"/>
      <c r="H95" s="899"/>
      <c r="I95" s="899"/>
      <c r="J95" s="899"/>
    </row>
    <row r="96" spans="1:10" ht="16.5">
      <c r="A96" s="896"/>
      <c r="B96" s="897"/>
      <c r="C96" s="898"/>
      <c r="D96" s="896"/>
      <c r="E96" s="899"/>
      <c r="F96" s="899"/>
      <c r="G96" s="899"/>
      <c r="H96" s="899"/>
      <c r="I96" s="899"/>
      <c r="J96" s="899"/>
    </row>
    <row r="97" spans="1:10" ht="16.5">
      <c r="A97" s="896"/>
      <c r="B97" s="897"/>
      <c r="C97" s="898"/>
      <c r="D97" s="896"/>
      <c r="E97" s="899"/>
      <c r="F97" s="899"/>
      <c r="G97" s="899"/>
      <c r="H97" s="899"/>
      <c r="I97" s="899"/>
      <c r="J97" s="899"/>
    </row>
    <row r="98" spans="1:10" ht="16.5">
      <c r="A98" s="896"/>
      <c r="B98" s="897"/>
      <c r="C98" s="898"/>
      <c r="D98" s="896"/>
      <c r="E98" s="899"/>
      <c r="F98" s="899"/>
      <c r="G98" s="899"/>
      <c r="H98" s="899"/>
      <c r="I98" s="899"/>
      <c r="J98" s="899"/>
    </row>
    <row r="99" spans="1:10" ht="16.5">
      <c r="A99" s="896"/>
      <c r="B99" s="897"/>
      <c r="C99" s="898"/>
      <c r="D99" s="896"/>
      <c r="E99" s="899"/>
      <c r="F99" s="899"/>
      <c r="G99" s="899"/>
      <c r="H99" s="899"/>
      <c r="I99" s="899"/>
      <c r="J99" s="899"/>
    </row>
    <row r="100" spans="1:10" ht="16.5">
      <c r="A100" s="896"/>
      <c r="B100" s="897"/>
      <c r="C100" s="898"/>
      <c r="D100" s="896"/>
      <c r="E100" s="899"/>
      <c r="F100" s="899"/>
      <c r="G100" s="899"/>
      <c r="H100" s="899"/>
      <c r="I100" s="899"/>
      <c r="J100" s="899"/>
    </row>
    <row r="101" spans="1:10" ht="16.5">
      <c r="A101" s="896"/>
      <c r="B101" s="897"/>
      <c r="C101" s="898"/>
      <c r="D101" s="896"/>
      <c r="E101" s="899"/>
      <c r="F101" s="899"/>
      <c r="G101" s="899"/>
      <c r="H101" s="899"/>
      <c r="I101" s="899"/>
      <c r="J101" s="899"/>
    </row>
    <row r="102" spans="1:10" ht="16.5">
      <c r="A102" s="896"/>
      <c r="B102" s="897"/>
      <c r="C102" s="898"/>
      <c r="D102" s="896"/>
      <c r="E102" s="899"/>
      <c r="F102" s="899"/>
      <c r="G102" s="899"/>
      <c r="H102" s="899"/>
      <c r="I102" s="899"/>
      <c r="J102" s="899"/>
    </row>
    <row r="103" spans="1:10" ht="16.5">
      <c r="A103" s="896"/>
      <c r="B103" s="897"/>
      <c r="C103" s="898"/>
      <c r="D103" s="896"/>
      <c r="E103" s="899"/>
      <c r="F103" s="899"/>
      <c r="G103" s="899"/>
      <c r="H103" s="899"/>
      <c r="I103" s="899"/>
      <c r="J103" s="899"/>
    </row>
    <row r="104" spans="1:10" ht="16.5">
      <c r="A104" s="896"/>
      <c r="B104" s="897"/>
      <c r="C104" s="898"/>
      <c r="D104" s="896"/>
      <c r="E104" s="899"/>
      <c r="F104" s="899"/>
      <c r="G104" s="899"/>
      <c r="H104" s="899"/>
      <c r="I104" s="899"/>
      <c r="J104" s="899"/>
    </row>
    <row r="105" spans="1:10" ht="16.5">
      <c r="A105" s="896"/>
      <c r="B105" s="897"/>
      <c r="C105" s="898"/>
      <c r="D105" s="896"/>
      <c r="E105" s="899"/>
      <c r="F105" s="899"/>
      <c r="G105" s="899"/>
      <c r="H105" s="899"/>
      <c r="I105" s="899"/>
      <c r="J105" s="899"/>
    </row>
    <row r="106" spans="1:10" ht="16.5">
      <c r="A106" s="896"/>
      <c r="B106" s="897"/>
      <c r="C106" s="898"/>
      <c r="D106" s="896"/>
      <c r="E106" s="899"/>
      <c r="F106" s="899"/>
      <c r="G106" s="899"/>
      <c r="H106" s="899"/>
      <c r="I106" s="899"/>
      <c r="J106" s="899"/>
    </row>
    <row r="107" spans="1:10" ht="16.5">
      <c r="A107" s="896"/>
      <c r="B107" s="897"/>
      <c r="C107" s="898"/>
      <c r="D107" s="896"/>
      <c r="E107" s="899"/>
      <c r="F107" s="899"/>
      <c r="G107" s="899"/>
      <c r="H107" s="899"/>
      <c r="I107" s="899"/>
      <c r="J107" s="899"/>
    </row>
    <row r="108" spans="1:10" ht="16.5">
      <c r="A108" s="896"/>
      <c r="B108" s="897"/>
      <c r="C108" s="898"/>
      <c r="D108" s="896"/>
      <c r="E108" s="899"/>
      <c r="F108" s="899"/>
      <c r="G108" s="899"/>
      <c r="H108" s="899"/>
      <c r="I108" s="899"/>
      <c r="J108" s="899"/>
    </row>
    <row r="109" spans="1:10" ht="16.5">
      <c r="A109" s="896"/>
      <c r="B109" s="897"/>
      <c r="C109" s="898"/>
      <c r="D109" s="896"/>
      <c r="E109" s="899"/>
      <c r="F109" s="899"/>
      <c r="G109" s="899"/>
      <c r="H109" s="899"/>
      <c r="I109" s="899"/>
      <c r="J109" s="899"/>
    </row>
    <row r="110" spans="1:10" ht="16.5">
      <c r="A110" s="896"/>
      <c r="B110" s="897"/>
      <c r="C110" s="898"/>
      <c r="D110" s="896"/>
      <c r="E110" s="899"/>
      <c r="F110" s="899"/>
      <c r="G110" s="899"/>
      <c r="H110" s="899"/>
      <c r="I110" s="899"/>
      <c r="J110" s="899"/>
    </row>
    <row r="111" spans="1:10" ht="16.5">
      <c r="A111" s="896"/>
      <c r="B111" s="897"/>
      <c r="C111" s="898"/>
      <c r="D111" s="896"/>
      <c r="E111" s="899"/>
      <c r="F111" s="899"/>
      <c r="G111" s="899"/>
      <c r="H111" s="899"/>
      <c r="I111" s="899"/>
      <c r="J111" s="899"/>
    </row>
    <row r="112" spans="1:10" ht="16.5">
      <c r="A112" s="896"/>
      <c r="B112" s="897"/>
      <c r="C112" s="898"/>
      <c r="D112" s="896"/>
      <c r="E112" s="899"/>
      <c r="F112" s="899"/>
      <c r="G112" s="899"/>
      <c r="H112" s="899"/>
      <c r="I112" s="899"/>
      <c r="J112" s="899"/>
    </row>
    <row r="113" spans="1:10" ht="16.5">
      <c r="A113" s="896"/>
      <c r="B113" s="897"/>
      <c r="C113" s="898"/>
      <c r="D113" s="896"/>
      <c r="E113" s="899"/>
      <c r="F113" s="899"/>
      <c r="G113" s="899"/>
      <c r="H113" s="899"/>
      <c r="I113" s="899"/>
      <c r="J113" s="899"/>
    </row>
    <row r="114" spans="1:10" ht="16.5">
      <c r="A114" s="896"/>
      <c r="B114" s="897"/>
      <c r="C114" s="898"/>
      <c r="D114" s="896"/>
      <c r="E114" s="899"/>
      <c r="F114" s="899"/>
      <c r="G114" s="899"/>
      <c r="H114" s="899"/>
      <c r="I114" s="899"/>
      <c r="J114" s="899"/>
    </row>
    <row r="115" spans="1:10" ht="16.5">
      <c r="A115" s="896"/>
      <c r="B115" s="897"/>
      <c r="C115" s="898"/>
      <c r="D115" s="896"/>
      <c r="E115" s="899"/>
      <c r="F115" s="899"/>
      <c r="G115" s="899"/>
      <c r="H115" s="899"/>
      <c r="I115" s="899"/>
      <c r="J115" s="899"/>
    </row>
    <row r="116" spans="1:10" ht="16.5">
      <c r="A116" s="896"/>
      <c r="B116" s="897"/>
      <c r="C116" s="898"/>
      <c r="D116" s="896"/>
      <c r="E116" s="899"/>
      <c r="F116" s="899"/>
      <c r="G116" s="899"/>
      <c r="H116" s="899"/>
      <c r="I116" s="899"/>
      <c r="J116" s="899"/>
    </row>
    <row r="117" spans="1:10" ht="16.5">
      <c r="A117" s="896"/>
      <c r="B117" s="897"/>
      <c r="C117" s="898"/>
      <c r="D117" s="896"/>
      <c r="E117" s="899"/>
      <c r="F117" s="899"/>
      <c r="G117" s="899"/>
      <c r="H117" s="899"/>
      <c r="I117" s="899"/>
      <c r="J117" s="899"/>
    </row>
    <row r="118" spans="1:10" ht="16.5">
      <c r="A118" s="896"/>
      <c r="B118" s="897"/>
      <c r="C118" s="898"/>
      <c r="D118" s="896"/>
      <c r="E118" s="899"/>
      <c r="F118" s="899"/>
      <c r="G118" s="899"/>
      <c r="H118" s="899"/>
      <c r="I118" s="899"/>
      <c r="J118" s="899"/>
    </row>
    <row r="119" spans="1:10" ht="16.5">
      <c r="A119" s="896"/>
      <c r="B119" s="897"/>
      <c r="C119" s="898"/>
      <c r="D119" s="896"/>
      <c r="E119" s="899"/>
      <c r="F119" s="899"/>
      <c r="G119" s="899"/>
      <c r="H119" s="899"/>
      <c r="I119" s="899"/>
      <c r="J119" s="899"/>
    </row>
    <row r="120" spans="1:10" ht="16.5">
      <c r="A120" s="896"/>
      <c r="B120" s="897"/>
      <c r="C120" s="898"/>
      <c r="D120" s="896"/>
      <c r="E120" s="899"/>
      <c r="F120" s="899"/>
      <c r="G120" s="899"/>
      <c r="H120" s="899"/>
      <c r="I120" s="899"/>
      <c r="J120" s="899"/>
    </row>
    <row r="121" spans="1:10" ht="16.5">
      <c r="A121" s="896"/>
      <c r="B121" s="897"/>
      <c r="C121" s="898"/>
      <c r="D121" s="896"/>
      <c r="E121" s="899"/>
      <c r="F121" s="899"/>
      <c r="G121" s="899"/>
      <c r="H121" s="899"/>
      <c r="I121" s="899"/>
      <c r="J121" s="899"/>
    </row>
    <row r="122" spans="1:10" ht="16.5">
      <c r="A122" s="896"/>
      <c r="B122" s="897"/>
      <c r="C122" s="898"/>
      <c r="D122" s="896"/>
      <c r="E122" s="899"/>
      <c r="F122" s="899"/>
      <c r="G122" s="899"/>
      <c r="H122" s="899"/>
      <c r="I122" s="899"/>
      <c r="J122" s="899"/>
    </row>
    <row r="123" spans="1:10" ht="16.5">
      <c r="A123" s="896"/>
      <c r="B123" s="897"/>
      <c r="C123" s="898"/>
      <c r="D123" s="896"/>
      <c r="E123" s="899"/>
      <c r="F123" s="899"/>
      <c r="G123" s="899"/>
      <c r="H123" s="899"/>
      <c r="I123" s="899"/>
      <c r="J123" s="899"/>
    </row>
    <row r="124" spans="1:10" ht="16.5">
      <c r="A124" s="896"/>
      <c r="B124" s="897"/>
      <c r="C124" s="898"/>
      <c r="D124" s="896"/>
      <c r="E124" s="899"/>
      <c r="F124" s="899"/>
      <c r="G124" s="899"/>
      <c r="H124" s="899"/>
      <c r="I124" s="899"/>
      <c r="J124" s="899"/>
    </row>
    <row r="125" spans="1:10" ht="16.5">
      <c r="A125" s="896"/>
      <c r="B125" s="897"/>
      <c r="C125" s="898"/>
      <c r="D125" s="896"/>
      <c r="E125" s="899"/>
      <c r="F125" s="899"/>
      <c r="G125" s="899"/>
      <c r="H125" s="899"/>
      <c r="I125" s="899"/>
      <c r="J125" s="899"/>
    </row>
    <row r="126" spans="1:10" ht="16.5">
      <c r="A126" s="896"/>
      <c r="B126" s="897"/>
      <c r="C126" s="898"/>
      <c r="D126" s="896"/>
      <c r="E126" s="899"/>
      <c r="F126" s="899"/>
      <c r="G126" s="899"/>
      <c r="H126" s="899"/>
      <c r="I126" s="899"/>
      <c r="J126" s="899"/>
    </row>
    <row r="127" spans="1:10" ht="16.5">
      <c r="A127" s="896"/>
      <c r="B127" s="897"/>
      <c r="C127" s="898"/>
      <c r="D127" s="896"/>
      <c r="E127" s="899"/>
      <c r="F127" s="899"/>
      <c r="G127" s="899"/>
      <c r="H127" s="899"/>
      <c r="I127" s="899"/>
      <c r="J127" s="899"/>
    </row>
    <row r="128" spans="1:10" ht="16.5">
      <c r="A128" s="896"/>
      <c r="B128" s="897"/>
      <c r="C128" s="898"/>
      <c r="D128" s="896"/>
      <c r="E128" s="899"/>
      <c r="F128" s="899"/>
      <c r="G128" s="899"/>
      <c r="H128" s="899"/>
      <c r="I128" s="899"/>
      <c r="J128" s="899"/>
    </row>
    <row r="129" spans="1:10" ht="16.5">
      <c r="A129" s="896"/>
      <c r="B129" s="897"/>
      <c r="C129" s="898"/>
      <c r="D129" s="896"/>
      <c r="E129" s="899"/>
      <c r="F129" s="899"/>
      <c r="G129" s="899"/>
      <c r="H129" s="899"/>
      <c r="I129" s="899"/>
      <c r="J129" s="899"/>
    </row>
    <row r="130" spans="1:10" ht="16.5">
      <c r="A130" s="896"/>
      <c r="B130" s="897"/>
      <c r="C130" s="898"/>
      <c r="D130" s="896"/>
      <c r="E130" s="899"/>
      <c r="F130" s="899"/>
      <c r="G130" s="899"/>
      <c r="H130" s="899"/>
      <c r="I130" s="899"/>
      <c r="J130" s="899"/>
    </row>
    <row r="131" spans="1:10" ht="16.5">
      <c r="A131" s="896"/>
      <c r="B131" s="897"/>
      <c r="C131" s="898"/>
      <c r="D131" s="896"/>
      <c r="E131" s="899"/>
      <c r="F131" s="899"/>
      <c r="G131" s="899"/>
      <c r="H131" s="899"/>
      <c r="I131" s="899"/>
      <c r="J131" s="899"/>
    </row>
    <row r="132" spans="1:10" ht="16.5">
      <c r="A132" s="896"/>
      <c r="B132" s="897"/>
      <c r="C132" s="898"/>
      <c r="D132" s="896"/>
      <c r="E132" s="899"/>
      <c r="F132" s="899"/>
      <c r="G132" s="899"/>
      <c r="H132" s="899"/>
      <c r="I132" s="899"/>
      <c r="J132" s="899"/>
    </row>
    <row r="133" spans="1:10" ht="16.5">
      <c r="A133" s="896"/>
      <c r="B133" s="897"/>
      <c r="C133" s="898"/>
      <c r="D133" s="896"/>
      <c r="E133" s="899"/>
      <c r="F133" s="899"/>
      <c r="G133" s="899"/>
      <c r="H133" s="899"/>
      <c r="I133" s="899"/>
      <c r="J133" s="899"/>
    </row>
    <row r="134" spans="1:10" ht="16.5">
      <c r="A134" s="896"/>
      <c r="B134" s="897"/>
      <c r="C134" s="898"/>
      <c r="D134" s="896"/>
      <c r="E134" s="899"/>
      <c r="F134" s="899"/>
      <c r="G134" s="899"/>
      <c r="H134" s="899"/>
      <c r="I134" s="899"/>
      <c r="J134" s="899"/>
    </row>
    <row r="135" spans="1:10" ht="16.5">
      <c r="A135" s="896"/>
      <c r="B135" s="897"/>
      <c r="C135" s="898"/>
      <c r="D135" s="896"/>
      <c r="E135" s="899"/>
      <c r="F135" s="899"/>
      <c r="G135" s="899"/>
      <c r="H135" s="899"/>
      <c r="I135" s="899"/>
      <c r="J135" s="899"/>
    </row>
    <row r="136" spans="1:10" ht="16.5">
      <c r="A136" s="896"/>
      <c r="B136" s="897"/>
      <c r="C136" s="898"/>
      <c r="D136" s="896"/>
      <c r="E136" s="899"/>
      <c r="F136" s="899"/>
      <c r="G136" s="899"/>
      <c r="H136" s="899"/>
      <c r="I136" s="899"/>
      <c r="J136" s="899"/>
    </row>
    <row r="137" spans="1:10" ht="16.5">
      <c r="A137" s="896"/>
      <c r="B137" s="897"/>
      <c r="C137" s="898"/>
      <c r="D137" s="896"/>
      <c r="E137" s="899"/>
      <c r="F137" s="899"/>
      <c r="G137" s="899"/>
      <c r="H137" s="899"/>
      <c r="I137" s="899"/>
      <c r="J137" s="899"/>
    </row>
    <row r="138" spans="1:10" ht="16.5">
      <c r="A138" s="896"/>
      <c r="B138" s="897"/>
      <c r="C138" s="898"/>
      <c r="D138" s="896"/>
      <c r="E138" s="899"/>
      <c r="F138" s="899"/>
      <c r="G138" s="899"/>
      <c r="H138" s="899"/>
      <c r="I138" s="899"/>
      <c r="J138" s="899"/>
    </row>
    <row r="139" spans="1:10" ht="16.5">
      <c r="A139" s="896"/>
      <c r="B139" s="897"/>
      <c r="C139" s="898"/>
      <c r="D139" s="896"/>
      <c r="E139" s="899"/>
      <c r="F139" s="899"/>
      <c r="G139" s="899"/>
      <c r="H139" s="899"/>
      <c r="I139" s="899"/>
      <c r="J139" s="899"/>
    </row>
    <row r="140" spans="1:10" ht="16.5">
      <c r="A140" s="896"/>
      <c r="B140" s="897"/>
      <c r="C140" s="898"/>
      <c r="D140" s="896"/>
      <c r="E140" s="899"/>
      <c r="F140" s="899"/>
      <c r="G140" s="899"/>
      <c r="H140" s="899"/>
      <c r="I140" s="899"/>
      <c r="J140" s="899"/>
    </row>
    <row r="141" spans="1:10" ht="16.5">
      <c r="A141" s="896"/>
      <c r="B141" s="897"/>
      <c r="C141" s="898"/>
      <c r="D141" s="896"/>
      <c r="E141" s="899"/>
      <c r="F141" s="899"/>
      <c r="G141" s="899"/>
      <c r="H141" s="899"/>
      <c r="I141" s="899"/>
      <c r="J141" s="899"/>
    </row>
    <row r="142" spans="1:10" ht="16.5">
      <c r="A142" s="896"/>
      <c r="B142" s="897"/>
      <c r="C142" s="898"/>
      <c r="D142" s="896"/>
      <c r="E142" s="899"/>
      <c r="F142" s="899"/>
      <c r="G142" s="899"/>
      <c r="H142" s="899"/>
      <c r="I142" s="899"/>
      <c r="J142" s="899"/>
    </row>
    <row r="143" spans="1:10" ht="16.5">
      <c r="A143" s="896"/>
      <c r="B143" s="897"/>
      <c r="C143" s="898"/>
      <c r="D143" s="896"/>
      <c r="E143" s="899"/>
      <c r="F143" s="899"/>
      <c r="G143" s="899"/>
      <c r="H143" s="899"/>
      <c r="I143" s="899"/>
      <c r="J143" s="899"/>
    </row>
    <row r="144" spans="1:10" ht="16.5">
      <c r="A144" s="896"/>
      <c r="B144" s="897"/>
      <c r="C144" s="898"/>
      <c r="D144" s="896"/>
      <c r="E144" s="899"/>
      <c r="F144" s="899"/>
      <c r="G144" s="899"/>
      <c r="H144" s="899"/>
      <c r="I144" s="899"/>
      <c r="J144" s="899"/>
    </row>
    <row r="145" spans="1:10" ht="16.5">
      <c r="A145" s="896"/>
      <c r="B145" s="897"/>
      <c r="C145" s="898"/>
      <c r="D145" s="896"/>
      <c r="E145" s="899"/>
      <c r="F145" s="899"/>
      <c r="G145" s="899"/>
      <c r="H145" s="899"/>
      <c r="I145" s="899"/>
      <c r="J145" s="899"/>
    </row>
    <row r="146" spans="1:10" ht="16.5">
      <c r="A146" s="896"/>
      <c r="B146" s="897"/>
      <c r="C146" s="898"/>
      <c r="D146" s="896"/>
      <c r="E146" s="899"/>
      <c r="F146" s="899"/>
      <c r="G146" s="899"/>
      <c r="H146" s="899"/>
      <c r="I146" s="899"/>
      <c r="J146" s="899"/>
    </row>
    <row r="147" spans="1:10" ht="16.5">
      <c r="A147" s="896"/>
      <c r="B147" s="897"/>
      <c r="C147" s="898"/>
      <c r="D147" s="896"/>
      <c r="E147" s="899"/>
      <c r="F147" s="899"/>
      <c r="G147" s="899"/>
      <c r="H147" s="899"/>
      <c r="I147" s="899"/>
      <c r="J147" s="899"/>
    </row>
    <row r="148" spans="1:10" ht="16.5">
      <c r="A148" s="896"/>
      <c r="B148" s="897"/>
      <c r="C148" s="898"/>
      <c r="D148" s="896"/>
      <c r="E148" s="899"/>
      <c r="F148" s="899"/>
      <c r="G148" s="899"/>
      <c r="H148" s="899"/>
      <c r="I148" s="899"/>
      <c r="J148" s="899"/>
    </row>
    <row r="149" spans="1:10" ht="16.5">
      <c r="A149" s="896"/>
      <c r="B149" s="897"/>
      <c r="C149" s="898"/>
      <c r="D149" s="896"/>
      <c r="E149" s="899"/>
      <c r="F149" s="899"/>
      <c r="G149" s="899"/>
      <c r="H149" s="899"/>
      <c r="I149" s="899"/>
      <c r="J149" s="899"/>
    </row>
    <row r="150" spans="1:10" ht="16.5">
      <c r="A150" s="896"/>
      <c r="B150" s="897"/>
      <c r="C150" s="898"/>
      <c r="D150" s="896"/>
      <c r="E150" s="899"/>
      <c r="F150" s="899"/>
      <c r="G150" s="899"/>
      <c r="H150" s="899"/>
      <c r="I150" s="899"/>
      <c r="J150" s="899"/>
    </row>
    <row r="151" spans="1:10" ht="16.5">
      <c r="A151" s="896"/>
      <c r="B151" s="897"/>
      <c r="C151" s="898"/>
      <c r="D151" s="896"/>
      <c r="E151" s="899"/>
      <c r="F151" s="899"/>
      <c r="G151" s="899"/>
      <c r="H151" s="899"/>
      <c r="I151" s="899"/>
      <c r="J151" s="899"/>
    </row>
    <row r="152" spans="1:10" ht="16.5">
      <c r="A152" s="896"/>
      <c r="B152" s="897"/>
      <c r="C152" s="898"/>
      <c r="D152" s="896"/>
      <c r="E152" s="899"/>
      <c r="F152" s="899"/>
      <c r="G152" s="899"/>
      <c r="H152" s="899"/>
      <c r="I152" s="899"/>
      <c r="J152" s="899"/>
    </row>
    <row r="153" spans="1:10" ht="16.5">
      <c r="A153" s="896"/>
      <c r="B153" s="897"/>
      <c r="C153" s="898"/>
      <c r="D153" s="896"/>
      <c r="E153" s="899"/>
      <c r="F153" s="899"/>
      <c r="G153" s="899"/>
      <c r="H153" s="899"/>
      <c r="I153" s="899"/>
      <c r="J153" s="899"/>
    </row>
    <row r="154" spans="1:10" ht="16.5">
      <c r="A154" s="896"/>
      <c r="B154" s="897"/>
      <c r="C154" s="898"/>
      <c r="D154" s="896"/>
      <c r="E154" s="899"/>
      <c r="F154" s="899"/>
      <c r="G154" s="899"/>
      <c r="H154" s="899"/>
      <c r="I154" s="899"/>
      <c r="J154" s="899"/>
    </row>
    <row r="155" spans="1:10" ht="16.5">
      <c r="A155" s="896"/>
      <c r="B155" s="897"/>
      <c r="C155" s="898"/>
      <c r="D155" s="896"/>
      <c r="E155" s="899"/>
      <c r="F155" s="899"/>
      <c r="G155" s="899"/>
      <c r="H155" s="899"/>
      <c r="I155" s="899"/>
      <c r="J155" s="899"/>
    </row>
    <row r="156" spans="1:10" ht="16.5">
      <c r="A156" s="896"/>
      <c r="B156" s="897"/>
      <c r="C156" s="898"/>
      <c r="D156" s="896"/>
      <c r="E156" s="899"/>
      <c r="F156" s="899"/>
      <c r="G156" s="899"/>
      <c r="H156" s="899"/>
      <c r="I156" s="899"/>
      <c r="J156" s="899"/>
    </row>
    <row r="157" spans="1:10" ht="16.5">
      <c r="A157" s="896"/>
      <c r="B157" s="897"/>
      <c r="C157" s="898"/>
      <c r="D157" s="896"/>
      <c r="E157" s="899"/>
      <c r="F157" s="899"/>
      <c r="G157" s="899"/>
      <c r="H157" s="899"/>
      <c r="I157" s="899"/>
      <c r="J157" s="899"/>
    </row>
    <row r="158" spans="1:10" ht="16.5">
      <c r="A158" s="896"/>
      <c r="B158" s="897"/>
      <c r="C158" s="898"/>
      <c r="D158" s="896"/>
      <c r="E158" s="899"/>
      <c r="F158" s="899"/>
      <c r="G158" s="899"/>
      <c r="H158" s="899"/>
      <c r="I158" s="899"/>
      <c r="J158" s="899"/>
    </row>
    <row r="159" spans="1:10" ht="16.5">
      <c r="A159" s="896"/>
      <c r="B159" s="897"/>
      <c r="C159" s="898"/>
      <c r="D159" s="896"/>
      <c r="E159" s="899"/>
      <c r="F159" s="899"/>
      <c r="G159" s="899"/>
      <c r="H159" s="899"/>
      <c r="I159" s="899"/>
      <c r="J159" s="899"/>
    </row>
    <row r="160" spans="1:10" ht="16.5">
      <c r="A160" s="896"/>
      <c r="B160" s="897"/>
      <c r="C160" s="898"/>
      <c r="D160" s="896"/>
      <c r="E160" s="899"/>
      <c r="F160" s="899"/>
      <c r="G160" s="899"/>
      <c r="H160" s="899"/>
      <c r="I160" s="899"/>
      <c r="J160" s="899"/>
    </row>
    <row r="161" spans="1:10" ht="16.5">
      <c r="A161" s="896"/>
      <c r="B161" s="897"/>
      <c r="C161" s="898"/>
      <c r="D161" s="896"/>
      <c r="E161" s="899"/>
      <c r="F161" s="899"/>
      <c r="G161" s="899"/>
      <c r="H161" s="899"/>
      <c r="I161" s="899"/>
      <c r="J161" s="899"/>
    </row>
    <row r="162" spans="1:10" ht="16.5">
      <c r="A162" s="896"/>
      <c r="B162" s="897"/>
      <c r="C162" s="898"/>
      <c r="D162" s="896"/>
      <c r="E162" s="899"/>
      <c r="F162" s="899"/>
      <c r="G162" s="899"/>
      <c r="H162" s="899"/>
      <c r="I162" s="899"/>
      <c r="J162" s="899"/>
    </row>
    <row r="163" spans="1:10" ht="16.5">
      <c r="A163" s="896"/>
      <c r="B163" s="897"/>
      <c r="C163" s="898"/>
      <c r="D163" s="896"/>
      <c r="E163" s="899"/>
      <c r="F163" s="899"/>
      <c r="G163" s="899"/>
      <c r="H163" s="899"/>
      <c r="I163" s="899"/>
      <c r="J163" s="899"/>
    </row>
    <row r="164" spans="1:10" ht="16.5">
      <c r="A164" s="896"/>
      <c r="B164" s="897"/>
      <c r="C164" s="898"/>
      <c r="D164" s="896"/>
      <c r="E164" s="899"/>
      <c r="F164" s="899"/>
      <c r="G164" s="899"/>
      <c r="H164" s="899"/>
      <c r="I164" s="899"/>
      <c r="J164" s="899"/>
    </row>
    <row r="165" spans="1:10" ht="16.5">
      <c r="A165" s="896"/>
      <c r="B165" s="897"/>
      <c r="C165" s="898"/>
      <c r="D165" s="896"/>
      <c r="E165" s="899"/>
      <c r="F165" s="899"/>
      <c r="G165" s="899"/>
      <c r="H165" s="899"/>
      <c r="I165" s="899"/>
      <c r="J165" s="899"/>
    </row>
    <row r="166" spans="1:10" ht="16.5">
      <c r="A166" s="896"/>
      <c r="B166" s="897"/>
      <c r="C166" s="898"/>
      <c r="D166" s="896"/>
      <c r="E166" s="899"/>
      <c r="F166" s="899"/>
      <c r="G166" s="899"/>
      <c r="H166" s="899"/>
      <c r="I166" s="899"/>
      <c r="J166" s="899"/>
    </row>
    <row r="167" spans="1:10" ht="16.5">
      <c r="A167" s="896"/>
      <c r="B167" s="897"/>
      <c r="C167" s="898"/>
      <c r="D167" s="896"/>
      <c r="E167" s="899"/>
      <c r="F167" s="899"/>
      <c r="G167" s="899"/>
      <c r="H167" s="899"/>
      <c r="I167" s="899"/>
      <c r="J167" s="899"/>
    </row>
    <row r="168" spans="1:10" ht="16.5">
      <c r="A168" s="896"/>
      <c r="B168" s="897"/>
      <c r="C168" s="898"/>
      <c r="D168" s="896"/>
      <c r="E168" s="899"/>
      <c r="F168" s="899"/>
      <c r="G168" s="899"/>
      <c r="H168" s="899"/>
      <c r="I168" s="899"/>
      <c r="J168" s="899"/>
    </row>
    <row r="169" spans="1:10" ht="16.5">
      <c r="A169" s="896"/>
      <c r="B169" s="897"/>
      <c r="C169" s="898"/>
      <c r="D169" s="896"/>
      <c r="E169" s="899"/>
      <c r="F169" s="899"/>
      <c r="G169" s="899"/>
      <c r="H169" s="899"/>
      <c r="I169" s="899"/>
      <c r="J169" s="899"/>
    </row>
    <row r="170" spans="1:10" ht="16.5">
      <c r="A170" s="896"/>
      <c r="B170" s="897"/>
      <c r="C170" s="898"/>
      <c r="D170" s="896"/>
      <c r="E170" s="899"/>
      <c r="F170" s="899"/>
      <c r="G170" s="899"/>
      <c r="H170" s="899"/>
      <c r="I170" s="899"/>
      <c r="J170" s="899"/>
    </row>
    <row r="171" spans="1:10" ht="16.5">
      <c r="A171" s="896"/>
      <c r="B171" s="897"/>
      <c r="C171" s="898"/>
      <c r="D171" s="896"/>
      <c r="E171" s="899"/>
      <c r="F171" s="899"/>
      <c r="G171" s="899"/>
      <c r="H171" s="899"/>
      <c r="I171" s="899"/>
      <c r="J171" s="899"/>
    </row>
    <row r="172" spans="1:10" ht="16.5">
      <c r="A172" s="896"/>
      <c r="B172" s="897"/>
      <c r="C172" s="898"/>
      <c r="D172" s="896"/>
      <c r="E172" s="899"/>
      <c r="F172" s="899"/>
      <c r="G172" s="899"/>
      <c r="H172" s="899"/>
      <c r="I172" s="899"/>
      <c r="J172" s="899"/>
    </row>
    <row r="173" spans="1:10" ht="16.5">
      <c r="A173" s="896"/>
      <c r="B173" s="897"/>
      <c r="C173" s="898"/>
      <c r="D173" s="896"/>
      <c r="E173" s="899"/>
      <c r="F173" s="899"/>
      <c r="G173" s="899"/>
      <c r="H173" s="899"/>
      <c r="I173" s="899"/>
      <c r="J173" s="899"/>
    </row>
    <row r="174" spans="1:10" ht="16.5">
      <c r="A174" s="896"/>
      <c r="B174" s="897"/>
      <c r="C174" s="898"/>
      <c r="D174" s="896"/>
      <c r="E174" s="899"/>
      <c r="F174" s="899"/>
      <c r="G174" s="899"/>
      <c r="H174" s="899"/>
      <c r="I174" s="899"/>
      <c r="J174" s="899"/>
    </row>
    <row r="175" spans="1:10" ht="16.5">
      <c r="A175" s="896"/>
      <c r="B175" s="897"/>
      <c r="C175" s="898"/>
      <c r="D175" s="896"/>
      <c r="E175" s="899"/>
      <c r="F175" s="899"/>
      <c r="G175" s="899"/>
      <c r="H175" s="899"/>
      <c r="I175" s="899"/>
      <c r="J175" s="899"/>
    </row>
    <row r="176" spans="1:10" ht="16.5">
      <c r="A176" s="896"/>
      <c r="B176" s="897"/>
      <c r="C176" s="898"/>
      <c r="D176" s="896"/>
      <c r="E176" s="899"/>
      <c r="F176" s="899"/>
      <c r="G176" s="899"/>
      <c r="H176" s="899"/>
      <c r="I176" s="899"/>
      <c r="J176" s="899"/>
    </row>
    <row r="177" spans="1:10" ht="16.5">
      <c r="A177" s="896"/>
      <c r="B177" s="897"/>
      <c r="C177" s="898"/>
      <c r="D177" s="896"/>
      <c r="E177" s="899"/>
      <c r="F177" s="899"/>
      <c r="G177" s="899"/>
      <c r="H177" s="899"/>
      <c r="I177" s="899"/>
      <c r="J177" s="899"/>
    </row>
    <row r="178" spans="1:10" ht="16.5">
      <c r="A178" s="896"/>
      <c r="B178" s="897"/>
      <c r="C178" s="898"/>
      <c r="D178" s="896"/>
      <c r="E178" s="899"/>
      <c r="F178" s="899"/>
      <c r="G178" s="899"/>
      <c r="H178" s="899"/>
      <c r="I178" s="899"/>
      <c r="J178" s="899"/>
    </row>
    <row r="179" spans="1:10" ht="16.5">
      <c r="A179" s="896"/>
      <c r="B179" s="897"/>
      <c r="C179" s="898"/>
      <c r="D179" s="896"/>
      <c r="E179" s="899"/>
      <c r="F179" s="899"/>
      <c r="G179" s="899"/>
      <c r="H179" s="899"/>
      <c r="I179" s="899"/>
      <c r="J179" s="899"/>
    </row>
    <row r="180" spans="1:10" ht="16.5">
      <c r="A180" s="896"/>
      <c r="B180" s="897"/>
      <c r="C180" s="898"/>
      <c r="D180" s="896"/>
      <c r="E180" s="899"/>
      <c r="F180" s="899"/>
      <c r="G180" s="899"/>
      <c r="H180" s="899"/>
      <c r="I180" s="899"/>
      <c r="J180" s="899"/>
    </row>
    <row r="181" spans="1:10" ht="16.5">
      <c r="A181" s="896"/>
      <c r="B181" s="897"/>
      <c r="C181" s="898"/>
      <c r="D181" s="896"/>
      <c r="E181" s="899"/>
      <c r="F181" s="899"/>
      <c r="G181" s="899"/>
      <c r="H181" s="899"/>
      <c r="I181" s="899"/>
      <c r="J181" s="899"/>
    </row>
    <row r="182" spans="1:10" ht="16.5">
      <c r="A182" s="896"/>
      <c r="B182" s="897"/>
      <c r="C182" s="898"/>
      <c r="D182" s="896"/>
      <c r="E182" s="899"/>
      <c r="F182" s="899"/>
      <c r="G182" s="899"/>
      <c r="H182" s="899"/>
      <c r="I182" s="899"/>
      <c r="J182" s="899"/>
    </row>
    <row r="183" spans="1:10" ht="16.5">
      <c r="A183" s="896"/>
      <c r="B183" s="897"/>
      <c r="C183" s="898"/>
      <c r="D183" s="896"/>
      <c r="E183" s="899"/>
      <c r="F183" s="899"/>
      <c r="G183" s="899"/>
      <c r="H183" s="899"/>
      <c r="I183" s="899"/>
      <c r="J183" s="899"/>
    </row>
    <row r="184" spans="1:10" ht="16.5">
      <c r="A184" s="896"/>
      <c r="B184" s="897"/>
      <c r="C184" s="898"/>
      <c r="D184" s="896"/>
      <c r="E184" s="899"/>
      <c r="F184" s="899"/>
      <c r="G184" s="899"/>
      <c r="H184" s="899"/>
      <c r="I184" s="899"/>
      <c r="J184" s="899"/>
    </row>
    <row r="185" spans="1:10" ht="16.5">
      <c r="A185" s="896"/>
      <c r="B185" s="897"/>
      <c r="C185" s="898"/>
      <c r="D185" s="896"/>
      <c r="E185" s="899"/>
      <c r="F185" s="899"/>
      <c r="G185" s="899"/>
      <c r="H185" s="899"/>
      <c r="I185" s="899"/>
      <c r="J185" s="899"/>
    </row>
    <row r="186" spans="1:10" ht="16.5">
      <c r="A186" s="896"/>
      <c r="B186" s="897"/>
      <c r="C186" s="898"/>
      <c r="D186" s="896"/>
      <c r="E186" s="899"/>
      <c r="F186" s="899"/>
      <c r="G186" s="899"/>
      <c r="H186" s="899"/>
      <c r="I186" s="899"/>
      <c r="J186" s="899"/>
    </row>
    <row r="187" spans="1:10" ht="16.5">
      <c r="A187" s="896"/>
      <c r="B187" s="897"/>
      <c r="C187" s="898"/>
      <c r="D187" s="896"/>
      <c r="E187" s="899"/>
      <c r="F187" s="899"/>
      <c r="G187" s="899"/>
      <c r="H187" s="899"/>
      <c r="I187" s="899"/>
      <c r="J187" s="899"/>
    </row>
    <row r="188" spans="1:10" ht="16.5">
      <c r="A188" s="896"/>
      <c r="B188" s="897"/>
      <c r="C188" s="898"/>
      <c r="D188" s="896"/>
      <c r="E188" s="899"/>
      <c r="F188" s="899"/>
      <c r="G188" s="899"/>
      <c r="H188" s="899"/>
      <c r="I188" s="899"/>
      <c r="J188" s="899"/>
    </row>
    <row r="189" spans="1:10" ht="16.5">
      <c r="A189" s="896"/>
      <c r="B189" s="897"/>
      <c r="C189" s="898"/>
      <c r="D189" s="896"/>
      <c r="E189" s="899"/>
      <c r="F189" s="899"/>
      <c r="G189" s="899"/>
      <c r="H189" s="899"/>
      <c r="I189" s="899"/>
      <c r="J189" s="899"/>
    </row>
    <row r="190" spans="1:10" ht="16.5">
      <c r="A190" s="896"/>
      <c r="B190" s="897"/>
      <c r="C190" s="898"/>
      <c r="D190" s="896"/>
      <c r="E190" s="899"/>
      <c r="F190" s="899"/>
      <c r="G190" s="899"/>
      <c r="H190" s="899"/>
      <c r="I190" s="899"/>
      <c r="J190" s="899"/>
    </row>
    <row r="191" spans="1:10" ht="16.5">
      <c r="A191" s="896"/>
      <c r="B191" s="897"/>
      <c r="C191" s="898"/>
      <c r="D191" s="896"/>
      <c r="E191" s="899"/>
      <c r="F191" s="899"/>
      <c r="G191" s="899"/>
      <c r="H191" s="899"/>
      <c r="I191" s="899"/>
      <c r="J191" s="899"/>
    </row>
    <row r="192" spans="1:10" ht="16.5">
      <c r="A192" s="896"/>
      <c r="B192" s="897"/>
      <c r="C192" s="898"/>
      <c r="D192" s="896"/>
      <c r="E192" s="899"/>
      <c r="F192" s="899"/>
      <c r="G192" s="899"/>
      <c r="H192" s="899"/>
      <c r="I192" s="899"/>
      <c r="J192" s="899"/>
    </row>
    <row r="193" spans="1:10" ht="16.5">
      <c r="A193" s="896"/>
      <c r="B193" s="897"/>
      <c r="C193" s="898"/>
      <c r="D193" s="896"/>
      <c r="E193" s="899"/>
      <c r="F193" s="899"/>
      <c r="G193" s="899"/>
      <c r="H193" s="899"/>
      <c r="I193" s="899"/>
      <c r="J193" s="899"/>
    </row>
    <row r="194" spans="1:10" ht="16.5">
      <c r="A194" s="896"/>
      <c r="B194" s="897"/>
      <c r="C194" s="898"/>
      <c r="D194" s="896"/>
      <c r="E194" s="899"/>
      <c r="F194" s="899"/>
      <c r="G194" s="899"/>
      <c r="H194" s="899"/>
      <c r="I194" s="899"/>
      <c r="J194" s="899"/>
    </row>
    <row r="195" spans="1:10" ht="16.5">
      <c r="A195" s="896"/>
      <c r="B195" s="897"/>
      <c r="C195" s="898"/>
      <c r="D195" s="896"/>
      <c r="E195" s="899"/>
      <c r="F195" s="899"/>
      <c r="G195" s="899"/>
      <c r="H195" s="899"/>
      <c r="I195" s="899"/>
      <c r="J195" s="899"/>
    </row>
    <row r="196" spans="1:10" ht="16.5">
      <c r="A196" s="896"/>
      <c r="B196" s="897"/>
      <c r="C196" s="898"/>
      <c r="D196" s="896"/>
      <c r="E196" s="899"/>
      <c r="F196" s="899"/>
      <c r="G196" s="899"/>
      <c r="H196" s="899"/>
      <c r="I196" s="899"/>
      <c r="J196" s="899"/>
    </row>
    <row r="197" spans="1:10" ht="16.5">
      <c r="A197" s="896"/>
      <c r="B197" s="897"/>
      <c r="C197" s="898"/>
      <c r="D197" s="896"/>
      <c r="E197" s="899"/>
      <c r="F197" s="899"/>
      <c r="G197" s="899"/>
      <c r="H197" s="899"/>
      <c r="I197" s="899"/>
      <c r="J197" s="899"/>
    </row>
    <row r="198" spans="1:10" ht="16.5">
      <c r="A198" s="896"/>
      <c r="B198" s="897"/>
      <c r="C198" s="898"/>
      <c r="D198" s="896"/>
      <c r="E198" s="899"/>
      <c r="F198" s="899"/>
      <c r="G198" s="899"/>
      <c r="H198" s="899"/>
      <c r="I198" s="899"/>
      <c r="J198" s="899"/>
    </row>
    <row r="199" spans="1:10" ht="16.5">
      <c r="A199" s="896"/>
      <c r="B199" s="897"/>
      <c r="C199" s="898"/>
      <c r="D199" s="896"/>
      <c r="E199" s="899"/>
      <c r="F199" s="899"/>
      <c r="G199" s="899"/>
      <c r="H199" s="899"/>
      <c r="I199" s="899"/>
      <c r="J199" s="899"/>
    </row>
    <row r="200" spans="1:10" ht="16.5">
      <c r="A200" s="896"/>
      <c r="B200" s="897"/>
      <c r="C200" s="898"/>
      <c r="D200" s="896"/>
      <c r="E200" s="899"/>
      <c r="F200" s="899"/>
      <c r="G200" s="899"/>
      <c r="H200" s="899"/>
      <c r="I200" s="899"/>
      <c r="J200" s="899"/>
    </row>
    <row r="201" spans="1:10" ht="16.5">
      <c r="A201" s="896"/>
      <c r="B201" s="897"/>
      <c r="C201" s="898"/>
      <c r="D201" s="896"/>
      <c r="E201" s="899"/>
      <c r="F201" s="899"/>
      <c r="G201" s="899"/>
      <c r="H201" s="899"/>
      <c r="I201" s="899"/>
      <c r="J201" s="899"/>
    </row>
    <row r="202" spans="1:10" ht="16.5">
      <c r="A202" s="896"/>
      <c r="B202" s="897"/>
      <c r="C202" s="898"/>
      <c r="D202" s="896"/>
      <c r="E202" s="899"/>
      <c r="F202" s="899"/>
      <c r="G202" s="899"/>
      <c r="H202" s="899"/>
      <c r="I202" s="899"/>
      <c r="J202" s="899"/>
    </row>
    <row r="203" spans="1:10" ht="16.5">
      <c r="A203" s="896"/>
      <c r="B203" s="897"/>
      <c r="C203" s="898"/>
      <c r="D203" s="896"/>
      <c r="E203" s="899"/>
      <c r="F203" s="899"/>
      <c r="G203" s="899"/>
      <c r="H203" s="899"/>
      <c r="I203" s="899"/>
      <c r="J203" s="899"/>
    </row>
    <row r="204" spans="1:10" ht="16.5">
      <c r="A204" s="896"/>
      <c r="B204" s="897"/>
      <c r="C204" s="898"/>
      <c r="D204" s="896"/>
      <c r="E204" s="899"/>
      <c r="F204" s="899"/>
      <c r="G204" s="899"/>
      <c r="H204" s="899"/>
      <c r="I204" s="899"/>
      <c r="J204" s="899"/>
    </row>
    <row r="205" spans="1:10" ht="16.5">
      <c r="A205" s="896"/>
      <c r="B205" s="897"/>
      <c r="C205" s="898"/>
      <c r="D205" s="896"/>
      <c r="E205" s="899"/>
      <c r="F205" s="899"/>
      <c r="G205" s="899"/>
      <c r="H205" s="899"/>
      <c r="I205" s="899"/>
      <c r="J205" s="899"/>
    </row>
    <row r="206" spans="1:10" ht="16.5">
      <c r="A206" s="896"/>
      <c r="B206" s="897"/>
      <c r="C206" s="898"/>
      <c r="D206" s="896"/>
      <c r="E206" s="899"/>
      <c r="F206" s="899"/>
      <c r="G206" s="899"/>
      <c r="H206" s="899"/>
      <c r="I206" s="899"/>
      <c r="J206" s="899"/>
    </row>
    <row r="207" spans="1:10" ht="16.5">
      <c r="A207" s="896"/>
      <c r="B207" s="897"/>
      <c r="C207" s="898"/>
      <c r="D207" s="896"/>
      <c r="E207" s="899"/>
      <c r="F207" s="899"/>
      <c r="G207" s="899"/>
      <c r="H207" s="899"/>
      <c r="I207" s="899"/>
      <c r="J207" s="899"/>
    </row>
    <row r="208" spans="1:10" ht="16.5">
      <c r="A208" s="896"/>
      <c r="B208" s="897"/>
      <c r="C208" s="898"/>
      <c r="D208" s="896"/>
      <c r="E208" s="899"/>
      <c r="F208" s="899"/>
      <c r="G208" s="899"/>
      <c r="H208" s="899"/>
      <c r="I208" s="899"/>
      <c r="J208" s="899"/>
    </row>
    <row r="209" spans="1:10" ht="16.5">
      <c r="A209" s="896"/>
      <c r="B209" s="897"/>
      <c r="C209" s="898"/>
      <c r="D209" s="896"/>
      <c r="E209" s="899"/>
      <c r="F209" s="899"/>
      <c r="G209" s="899"/>
      <c r="H209" s="899"/>
      <c r="I209" s="899"/>
      <c r="J209" s="899"/>
    </row>
    <row r="210" spans="1:10" ht="16.5">
      <c r="A210" s="896"/>
      <c r="B210" s="897"/>
      <c r="C210" s="898"/>
      <c r="D210" s="896"/>
      <c r="E210" s="899"/>
      <c r="F210" s="899"/>
      <c r="G210" s="899"/>
      <c r="H210" s="899"/>
      <c r="I210" s="899"/>
      <c r="J210" s="899"/>
    </row>
    <row r="211" spans="1:10" ht="16.5">
      <c r="A211" s="896"/>
      <c r="B211" s="897"/>
      <c r="C211" s="898"/>
      <c r="D211" s="896"/>
      <c r="E211" s="899"/>
      <c r="F211" s="899"/>
      <c r="G211" s="899"/>
      <c r="H211" s="899"/>
      <c r="I211" s="899"/>
      <c r="J211" s="899"/>
    </row>
    <row r="212" spans="1:10" ht="16.5">
      <c r="A212" s="896"/>
      <c r="B212" s="897"/>
      <c r="C212" s="898"/>
      <c r="D212" s="896"/>
      <c r="E212" s="899"/>
      <c r="F212" s="899"/>
      <c r="G212" s="899"/>
      <c r="H212" s="899"/>
      <c r="I212" s="899"/>
      <c r="J212" s="899"/>
    </row>
    <row r="213" spans="1:10" ht="16.5">
      <c r="A213" s="896"/>
      <c r="B213" s="897"/>
      <c r="C213" s="898"/>
      <c r="D213" s="896"/>
      <c r="E213" s="899"/>
      <c r="F213" s="899"/>
      <c r="G213" s="899"/>
      <c r="H213" s="899"/>
      <c r="I213" s="899"/>
      <c r="J213" s="899"/>
    </row>
    <row r="214" spans="1:10" ht="16.5">
      <c r="A214" s="896"/>
      <c r="B214" s="897"/>
      <c r="C214" s="898"/>
      <c r="D214" s="896"/>
      <c r="E214" s="899"/>
      <c r="F214" s="899"/>
      <c r="G214" s="899"/>
      <c r="H214" s="899"/>
      <c r="I214" s="899"/>
      <c r="J214" s="899"/>
    </row>
    <row r="215" spans="1:10" ht="16.5">
      <c r="A215" s="896"/>
      <c r="B215" s="897"/>
      <c r="C215" s="898"/>
      <c r="D215" s="896"/>
      <c r="E215" s="899"/>
      <c r="F215" s="899"/>
      <c r="G215" s="899"/>
      <c r="H215" s="899"/>
      <c r="I215" s="899"/>
      <c r="J215" s="899"/>
    </row>
    <row r="216" spans="1:10" ht="16.5">
      <c r="A216" s="896"/>
      <c r="B216" s="897"/>
      <c r="C216" s="898"/>
      <c r="D216" s="896"/>
      <c r="E216" s="899"/>
      <c r="F216" s="899"/>
      <c r="G216" s="899"/>
      <c r="H216" s="899"/>
      <c r="I216" s="899"/>
      <c r="J216" s="899"/>
    </row>
    <row r="217" spans="1:10" ht="16.5">
      <c r="A217" s="896"/>
      <c r="B217" s="897"/>
      <c r="C217" s="898"/>
      <c r="D217" s="896"/>
      <c r="E217" s="899"/>
      <c r="F217" s="899"/>
      <c r="G217" s="899"/>
      <c r="H217" s="899"/>
      <c r="I217" s="899"/>
      <c r="J217" s="899"/>
    </row>
    <row r="218" spans="1:10" ht="16.5">
      <c r="A218" s="896"/>
      <c r="B218" s="897"/>
      <c r="C218" s="898"/>
      <c r="D218" s="896"/>
      <c r="E218" s="899"/>
      <c r="F218" s="899"/>
      <c r="G218" s="899"/>
      <c r="H218" s="899"/>
      <c r="I218" s="899"/>
      <c r="J218" s="899"/>
    </row>
    <row r="219" spans="1:10" ht="16.5">
      <c r="A219" s="896"/>
      <c r="B219" s="897"/>
      <c r="C219" s="898"/>
      <c r="D219" s="896"/>
      <c r="E219" s="899"/>
      <c r="F219" s="899"/>
      <c r="G219" s="899"/>
      <c r="H219" s="899"/>
      <c r="I219" s="899"/>
      <c r="J219" s="899"/>
    </row>
    <row r="220" spans="1:10" ht="16.5">
      <c r="A220" s="896"/>
      <c r="B220" s="897"/>
      <c r="C220" s="898"/>
      <c r="D220" s="896"/>
      <c r="E220" s="899"/>
      <c r="F220" s="899"/>
      <c r="G220" s="899"/>
      <c r="H220" s="899"/>
      <c r="I220" s="899"/>
      <c r="J220" s="899"/>
    </row>
    <row r="221" spans="1:10" ht="16.5">
      <c r="A221" s="896"/>
      <c r="B221" s="897"/>
      <c r="C221" s="898"/>
      <c r="D221" s="896"/>
      <c r="E221" s="899"/>
      <c r="F221" s="899"/>
      <c r="G221" s="899"/>
      <c r="H221" s="899"/>
      <c r="I221" s="899"/>
      <c r="J221" s="899"/>
    </row>
    <row r="222" spans="1:10" ht="16.5">
      <c r="A222" s="896"/>
      <c r="B222" s="897"/>
      <c r="C222" s="898"/>
      <c r="D222" s="896"/>
      <c r="E222" s="899"/>
      <c r="F222" s="899"/>
      <c r="G222" s="899"/>
      <c r="H222" s="899"/>
      <c r="I222" s="899"/>
      <c r="J222" s="899"/>
    </row>
    <row r="223" spans="1:10" ht="16.5">
      <c r="A223" s="896"/>
      <c r="B223" s="897"/>
      <c r="C223" s="898"/>
      <c r="D223" s="896"/>
      <c r="E223" s="899"/>
      <c r="F223" s="899"/>
      <c r="G223" s="899"/>
      <c r="H223" s="899"/>
      <c r="I223" s="899"/>
      <c r="J223" s="899"/>
    </row>
    <row r="224" spans="1:10" ht="16.5">
      <c r="A224" s="896"/>
      <c r="B224" s="897"/>
      <c r="C224" s="898"/>
      <c r="D224" s="896"/>
      <c r="E224" s="899"/>
      <c r="F224" s="899"/>
      <c r="G224" s="899"/>
      <c r="H224" s="899"/>
      <c r="I224" s="899"/>
      <c r="J224" s="899"/>
    </row>
    <row r="225" spans="1:10" ht="16.5">
      <c r="A225" s="896"/>
      <c r="B225" s="897"/>
      <c r="C225" s="898"/>
      <c r="D225" s="896"/>
      <c r="E225" s="899"/>
      <c r="F225" s="899"/>
      <c r="G225" s="899"/>
      <c r="H225" s="899"/>
      <c r="I225" s="899"/>
      <c r="J225" s="899"/>
    </row>
    <row r="226" spans="1:10" ht="16.5">
      <c r="A226" s="896"/>
      <c r="B226" s="897"/>
      <c r="C226" s="898"/>
      <c r="D226" s="896"/>
      <c r="E226" s="899"/>
      <c r="F226" s="899"/>
      <c r="G226" s="899"/>
      <c r="H226" s="899"/>
      <c r="I226" s="899"/>
      <c r="J226" s="899"/>
    </row>
    <row r="227" spans="1:10" ht="16.5">
      <c r="A227" s="896"/>
      <c r="B227" s="897"/>
      <c r="C227" s="898"/>
      <c r="D227" s="896"/>
      <c r="E227" s="899"/>
      <c r="F227" s="899"/>
      <c r="G227" s="899"/>
      <c r="H227" s="899"/>
      <c r="I227" s="899"/>
      <c r="J227" s="899"/>
    </row>
    <row r="228" spans="1:10" ht="16.5">
      <c r="A228" s="896"/>
      <c r="B228" s="897"/>
      <c r="C228" s="898"/>
      <c r="D228" s="896"/>
      <c r="E228" s="899"/>
      <c r="F228" s="899"/>
      <c r="G228" s="899"/>
      <c r="H228" s="899"/>
      <c r="I228" s="899"/>
      <c r="J228" s="899"/>
    </row>
    <row r="229" spans="1:10" ht="16.5">
      <c r="A229" s="896"/>
      <c r="B229" s="897"/>
      <c r="C229" s="898"/>
      <c r="D229" s="896"/>
      <c r="E229" s="899"/>
      <c r="F229" s="899"/>
      <c r="G229" s="899"/>
      <c r="H229" s="899"/>
      <c r="I229" s="899"/>
      <c r="J229" s="899"/>
    </row>
    <row r="230" spans="1:10" ht="16.5">
      <c r="A230" s="896"/>
      <c r="B230" s="897"/>
      <c r="C230" s="898"/>
      <c r="D230" s="896"/>
      <c r="E230" s="899"/>
      <c r="F230" s="899"/>
      <c r="G230" s="899"/>
      <c r="H230" s="899"/>
      <c r="I230" s="899"/>
      <c r="J230" s="899"/>
    </row>
    <row r="231" spans="1:10" ht="16.5">
      <c r="A231" s="896"/>
      <c r="B231" s="897"/>
      <c r="C231" s="898"/>
      <c r="D231" s="896"/>
      <c r="E231" s="899"/>
      <c r="F231" s="899"/>
      <c r="G231" s="899"/>
      <c r="H231" s="899"/>
      <c r="I231" s="899"/>
      <c r="J231" s="899"/>
    </row>
    <row r="232" spans="1:10" ht="16.5">
      <c r="A232" s="896"/>
      <c r="B232" s="897"/>
      <c r="C232" s="898"/>
      <c r="D232" s="896"/>
      <c r="E232" s="899"/>
      <c r="F232" s="899"/>
      <c r="G232" s="899"/>
      <c r="H232" s="899"/>
      <c r="I232" s="899"/>
      <c r="J232" s="899"/>
    </row>
    <row r="233" spans="1:10" ht="16.5">
      <c r="A233" s="896"/>
      <c r="B233" s="897"/>
      <c r="C233" s="898"/>
      <c r="D233" s="896"/>
      <c r="E233" s="899"/>
      <c r="F233" s="899"/>
      <c r="G233" s="899"/>
      <c r="H233" s="899"/>
      <c r="I233" s="899"/>
      <c r="J233" s="899"/>
    </row>
    <row r="234" spans="1:10" ht="16.5">
      <c r="A234" s="896"/>
      <c r="B234" s="897"/>
      <c r="C234" s="898"/>
      <c r="D234" s="896"/>
      <c r="E234" s="899"/>
      <c r="F234" s="899"/>
      <c r="G234" s="899"/>
      <c r="H234" s="899"/>
      <c r="I234" s="899"/>
      <c r="J234" s="899"/>
    </row>
    <row r="235" spans="1:10" ht="16.5">
      <c r="A235" s="896"/>
      <c r="B235" s="897"/>
      <c r="C235" s="898"/>
      <c r="D235" s="896"/>
      <c r="E235" s="899"/>
      <c r="F235" s="899"/>
      <c r="G235" s="899"/>
      <c r="H235" s="899"/>
      <c r="I235" s="899"/>
      <c r="J235" s="899"/>
    </row>
    <row r="236" spans="1:10" ht="16.5">
      <c r="A236" s="896"/>
      <c r="B236" s="897"/>
      <c r="C236" s="898"/>
      <c r="D236" s="896"/>
      <c r="E236" s="899"/>
      <c r="F236" s="899"/>
      <c r="G236" s="899"/>
      <c r="H236" s="899"/>
      <c r="I236" s="899"/>
      <c r="J236" s="899"/>
    </row>
    <row r="237" spans="1:10" ht="16.5">
      <c r="A237" s="896"/>
      <c r="B237" s="897"/>
      <c r="C237" s="898"/>
      <c r="D237" s="896"/>
      <c r="E237" s="899"/>
      <c r="F237" s="899"/>
      <c r="G237" s="899"/>
      <c r="H237" s="899"/>
      <c r="I237" s="899"/>
      <c r="J237" s="899"/>
    </row>
    <row r="238" spans="1:10" ht="16.5">
      <c r="A238" s="896"/>
      <c r="B238" s="897"/>
      <c r="C238" s="898"/>
      <c r="D238" s="896"/>
      <c r="E238" s="899"/>
      <c r="F238" s="899"/>
      <c r="G238" s="899"/>
      <c r="H238" s="899"/>
      <c r="I238" s="899"/>
      <c r="J238" s="899"/>
    </row>
    <row r="239" spans="1:10" ht="16.5">
      <c r="A239" s="896"/>
      <c r="B239" s="897"/>
      <c r="C239" s="898"/>
      <c r="D239" s="896"/>
      <c r="E239" s="899"/>
      <c r="F239" s="899"/>
      <c r="G239" s="899"/>
      <c r="H239" s="899"/>
      <c r="I239" s="899"/>
      <c r="J239" s="899"/>
    </row>
    <row r="240" spans="1:10" ht="16.5">
      <c r="A240" s="896"/>
      <c r="B240" s="897"/>
      <c r="C240" s="898"/>
      <c r="D240" s="896"/>
      <c r="E240" s="899"/>
      <c r="F240" s="899"/>
      <c r="G240" s="899"/>
      <c r="H240" s="899"/>
      <c r="I240" s="899"/>
      <c r="J240" s="899"/>
    </row>
    <row r="241" spans="1:10" ht="16.5">
      <c r="A241" s="896"/>
      <c r="B241" s="897"/>
      <c r="C241" s="898"/>
      <c r="D241" s="896"/>
      <c r="E241" s="899"/>
      <c r="F241" s="899"/>
      <c r="G241" s="899"/>
      <c r="H241" s="899"/>
      <c r="I241" s="899"/>
      <c r="J241" s="899"/>
    </row>
    <row r="242" spans="1:10" ht="16.5">
      <c r="A242" s="896"/>
      <c r="B242" s="897"/>
      <c r="C242" s="898"/>
      <c r="D242" s="896"/>
      <c r="E242" s="899"/>
      <c r="F242" s="899"/>
      <c r="G242" s="899"/>
      <c r="H242" s="899"/>
      <c r="I242" s="899"/>
      <c r="J242" s="899"/>
    </row>
    <row r="243" spans="1:10" ht="16.5">
      <c r="A243" s="896"/>
      <c r="B243" s="897"/>
      <c r="C243" s="898"/>
      <c r="D243" s="896"/>
      <c r="E243" s="899"/>
      <c r="F243" s="899"/>
      <c r="G243" s="899"/>
      <c r="H243" s="899"/>
      <c r="I243" s="899"/>
      <c r="J243" s="899"/>
    </row>
    <row r="244" spans="1:10" ht="16.5">
      <c r="A244" s="896"/>
      <c r="B244" s="897"/>
      <c r="C244" s="898"/>
      <c r="D244" s="896"/>
      <c r="E244" s="899"/>
      <c r="F244" s="899"/>
      <c r="G244" s="899"/>
      <c r="H244" s="899"/>
      <c r="I244" s="899"/>
      <c r="J244" s="899"/>
    </row>
    <row r="245" spans="1:10" ht="16.5">
      <c r="A245" s="896"/>
      <c r="B245" s="897"/>
      <c r="C245" s="898"/>
      <c r="D245" s="896"/>
      <c r="E245" s="899"/>
      <c r="F245" s="899"/>
      <c r="G245" s="899"/>
      <c r="H245" s="899"/>
      <c r="I245" s="899"/>
      <c r="J245" s="899"/>
    </row>
    <row r="246" spans="1:10" ht="16.5">
      <c r="A246" s="896"/>
      <c r="B246" s="897"/>
      <c r="C246" s="898"/>
      <c r="D246" s="896"/>
      <c r="E246" s="899"/>
      <c r="F246" s="899"/>
      <c r="G246" s="899"/>
      <c r="H246" s="899"/>
      <c r="I246" s="899"/>
      <c r="J246" s="899"/>
    </row>
    <row r="247" spans="1:10" ht="16.5">
      <c r="A247" s="896"/>
      <c r="B247" s="897"/>
      <c r="C247" s="898"/>
      <c r="D247" s="896"/>
      <c r="E247" s="899"/>
      <c r="F247" s="899"/>
      <c r="G247" s="899"/>
      <c r="H247" s="899"/>
      <c r="I247" s="899"/>
      <c r="J247" s="899"/>
    </row>
    <row r="248" spans="1:10" ht="16.5">
      <c r="A248" s="896"/>
      <c r="B248" s="897"/>
      <c r="C248" s="898"/>
      <c r="D248" s="896"/>
      <c r="E248" s="899"/>
      <c r="F248" s="899"/>
      <c r="G248" s="899"/>
      <c r="H248" s="899"/>
      <c r="I248" s="899"/>
      <c r="J248" s="899"/>
    </row>
  </sheetData>
  <sheetProtection/>
  <mergeCells count="3">
    <mergeCell ref="B2:J2"/>
    <mergeCell ref="A3:J3"/>
    <mergeCell ref="B20:D20"/>
  </mergeCells>
  <printOptions horizontalCentered="1"/>
  <pageMargins left="0.708661417322835" right="0.47244094488189" top="0.47" bottom="0.5" header="0.36" footer="0.2"/>
  <pageSetup fitToHeight="0" fitToWidth="1" horizontalDpi="600" verticalDpi="600" orientation="landscape" paperSize="9" scale="83" r:id="rId3"/>
  <headerFooter alignWithMargins="0">
    <oddFooter>&amp;R&amp;P/&amp;N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3"/>
  <sheetViews>
    <sheetView view="pageBreakPreview" zoomScaleNormal="70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6.8515625" style="461" customWidth="1"/>
    <col min="2" max="2" width="39.140625" style="422" customWidth="1"/>
    <col min="3" max="3" width="14.8515625" style="423" customWidth="1"/>
    <col min="4" max="4" width="14.57421875" style="461" customWidth="1"/>
    <col min="5" max="5" width="12.421875" style="461" customWidth="1"/>
    <col min="6" max="6" width="13.8515625" style="421" customWidth="1"/>
    <col min="7" max="7" width="12.421875" style="421" customWidth="1"/>
    <col min="8" max="8" width="14.8515625" style="421" customWidth="1"/>
    <col min="9" max="9" width="14.421875" style="461" customWidth="1"/>
    <col min="10" max="10" width="17.7109375" style="421" customWidth="1"/>
    <col min="11" max="16384" width="9.140625" style="421" customWidth="1"/>
  </cols>
  <sheetData>
    <row r="1" spans="2:10" s="908" customFormat="1" ht="29.25" customHeight="1">
      <c r="B1" s="856" t="s">
        <v>459</v>
      </c>
      <c r="C1" s="909"/>
      <c r="D1" s="909"/>
      <c r="H1" s="910" t="s">
        <v>342</v>
      </c>
      <c r="I1" s="1209" t="s">
        <v>331</v>
      </c>
      <c r="J1" s="1209"/>
    </row>
    <row r="2" spans="1:10" ht="17.25" customHeight="1">
      <c r="A2" s="421"/>
      <c r="B2" s="1198" t="s">
        <v>482</v>
      </c>
      <c r="C2" s="1198"/>
      <c r="D2" s="1198"/>
      <c r="E2" s="1198"/>
      <c r="F2" s="1198"/>
      <c r="G2" s="1198"/>
      <c r="H2" s="1198"/>
      <c r="I2" s="1198"/>
      <c r="J2" s="1198"/>
    </row>
    <row r="3" spans="1:10" ht="23.25" customHeight="1">
      <c r="A3" s="1203" t="s">
        <v>460</v>
      </c>
      <c r="B3" s="1203"/>
      <c r="C3" s="1203"/>
      <c r="D3" s="1203"/>
      <c r="E3" s="1203"/>
      <c r="F3" s="1203"/>
      <c r="G3" s="1203"/>
      <c r="H3" s="1203"/>
      <c r="I3" s="1203"/>
      <c r="J3" s="1203"/>
    </row>
    <row r="4" spans="1:10" ht="12" customHeight="1">
      <c r="A4" s="454"/>
      <c r="B4" s="455"/>
      <c r="C4" s="430"/>
      <c r="D4" s="454"/>
      <c r="E4" s="454"/>
      <c r="F4" s="431"/>
      <c r="G4" s="431"/>
      <c r="H4" s="431"/>
      <c r="I4" s="454"/>
      <c r="J4" s="431"/>
    </row>
    <row r="5" spans="1:10" s="434" customFormat="1" ht="52.5" customHeight="1">
      <c r="A5" s="433" t="s">
        <v>0</v>
      </c>
      <c r="B5" s="433" t="s">
        <v>287</v>
      </c>
      <c r="C5" s="433" t="s">
        <v>184</v>
      </c>
      <c r="D5" s="433" t="s">
        <v>332</v>
      </c>
      <c r="E5" s="433" t="s">
        <v>333</v>
      </c>
      <c r="F5" s="433" t="s">
        <v>334</v>
      </c>
      <c r="G5" s="433" t="s">
        <v>335</v>
      </c>
      <c r="H5" s="433" t="s">
        <v>336</v>
      </c>
      <c r="I5" s="433" t="s">
        <v>337</v>
      </c>
      <c r="J5" s="433" t="s">
        <v>338</v>
      </c>
    </row>
    <row r="6" spans="1:10" s="551" customFormat="1" ht="15.75">
      <c r="A6" s="548" t="s">
        <v>101</v>
      </c>
      <c r="B6" s="963" t="s">
        <v>461</v>
      </c>
      <c r="C6" s="964" t="s">
        <v>462</v>
      </c>
      <c r="D6" s="549">
        <v>93</v>
      </c>
      <c r="E6" s="549">
        <v>32</v>
      </c>
      <c r="F6" s="549">
        <v>39</v>
      </c>
      <c r="G6" s="549">
        <v>44</v>
      </c>
      <c r="H6" s="549">
        <v>50</v>
      </c>
      <c r="I6" s="549">
        <v>55</v>
      </c>
      <c r="J6" s="550">
        <f>SUM(E6:I6)</f>
        <v>220</v>
      </c>
    </row>
    <row r="7" spans="1:10" s="551" customFormat="1" ht="15.75">
      <c r="A7" s="548">
        <v>1</v>
      </c>
      <c r="B7" s="963" t="s">
        <v>463</v>
      </c>
      <c r="C7" s="965" t="s">
        <v>462</v>
      </c>
      <c r="D7" s="549">
        <v>93</v>
      </c>
      <c r="E7" s="549">
        <v>32</v>
      </c>
      <c r="F7" s="549">
        <v>39</v>
      </c>
      <c r="G7" s="549">
        <v>44</v>
      </c>
      <c r="H7" s="549">
        <v>50</v>
      </c>
      <c r="I7" s="549">
        <v>55</v>
      </c>
      <c r="J7" s="550">
        <f>SUM(E7:I7)</f>
        <v>220</v>
      </c>
    </row>
    <row r="8" spans="1:10" s="551" customFormat="1" ht="36" customHeight="1">
      <c r="A8" s="548"/>
      <c r="B8" s="966" t="s">
        <v>464</v>
      </c>
      <c r="C8" s="967" t="s">
        <v>462</v>
      </c>
      <c r="D8" s="553">
        <v>62.78</v>
      </c>
      <c r="E8" s="553">
        <v>21</v>
      </c>
      <c r="F8" s="553">
        <v>25</v>
      </c>
      <c r="G8" s="553">
        <v>30</v>
      </c>
      <c r="H8" s="553">
        <v>38</v>
      </c>
      <c r="I8" s="553">
        <v>45</v>
      </c>
      <c r="J8" s="554">
        <f>SUM(E8:I8)</f>
        <v>159</v>
      </c>
    </row>
    <row r="9" spans="1:10" s="558" customFormat="1" ht="31.5">
      <c r="A9" s="555"/>
      <c r="B9" s="968" t="s">
        <v>465</v>
      </c>
      <c r="C9" s="969" t="s">
        <v>462</v>
      </c>
      <c r="D9" s="556">
        <v>0</v>
      </c>
      <c r="E9" s="556"/>
      <c r="F9" s="556"/>
      <c r="G9" s="556"/>
      <c r="H9" s="556"/>
      <c r="I9" s="556"/>
      <c r="J9" s="557">
        <v>0</v>
      </c>
    </row>
    <row r="10" spans="1:10" s="551" customFormat="1" ht="23.25" customHeight="1">
      <c r="A10" s="548" t="s">
        <v>466</v>
      </c>
      <c r="B10" s="963" t="s">
        <v>467</v>
      </c>
      <c r="C10" s="964"/>
      <c r="D10" s="549"/>
      <c r="E10" s="549"/>
      <c r="F10" s="549"/>
      <c r="G10" s="549"/>
      <c r="H10" s="549"/>
      <c r="I10" s="549"/>
      <c r="J10" s="550"/>
    </row>
    <row r="11" spans="1:10" s="551" customFormat="1" ht="24.75" customHeight="1">
      <c r="A11" s="552"/>
      <c r="B11" s="966" t="s">
        <v>468</v>
      </c>
      <c r="C11" s="965" t="s">
        <v>469</v>
      </c>
      <c r="D11" s="553">
        <v>329</v>
      </c>
      <c r="E11" s="553">
        <v>120</v>
      </c>
      <c r="F11" s="553">
        <v>120</v>
      </c>
      <c r="G11" s="553">
        <v>140</v>
      </c>
      <c r="H11" s="553">
        <v>150</v>
      </c>
      <c r="I11" s="553">
        <v>160</v>
      </c>
      <c r="J11" s="550">
        <f>SUM(E11:I11)</f>
        <v>690</v>
      </c>
    </row>
    <row r="12" spans="1:10" s="551" customFormat="1" ht="24" customHeight="1">
      <c r="A12" s="552"/>
      <c r="B12" s="966" t="s">
        <v>470</v>
      </c>
      <c r="C12" s="965" t="s">
        <v>462</v>
      </c>
      <c r="D12" s="970">
        <v>58.8</v>
      </c>
      <c r="E12" s="553">
        <v>20</v>
      </c>
      <c r="F12" s="553">
        <v>24</v>
      </c>
      <c r="G12" s="553">
        <v>26</v>
      </c>
      <c r="H12" s="553">
        <v>28</v>
      </c>
      <c r="I12" s="553">
        <v>30</v>
      </c>
      <c r="J12" s="550">
        <f>SUM(E12:I12)</f>
        <v>128</v>
      </c>
    </row>
    <row r="13" spans="1:10" s="551" customFormat="1" ht="26.25" customHeight="1">
      <c r="A13" s="552"/>
      <c r="B13" s="966" t="s">
        <v>471</v>
      </c>
      <c r="C13" s="965" t="s">
        <v>462</v>
      </c>
      <c r="D13" s="553">
        <v>6.23</v>
      </c>
      <c r="E13" s="553">
        <v>2.5</v>
      </c>
      <c r="F13" s="553">
        <v>3</v>
      </c>
      <c r="G13" s="553">
        <v>3.6</v>
      </c>
      <c r="H13" s="553">
        <v>4</v>
      </c>
      <c r="I13" s="553">
        <v>5</v>
      </c>
      <c r="J13" s="554">
        <f>SUM(E13:I13)</f>
        <v>18.1</v>
      </c>
    </row>
    <row r="14" spans="1:10" s="551" customFormat="1" ht="24.75" customHeight="1">
      <c r="A14" s="559"/>
      <c r="B14" s="966" t="s">
        <v>472</v>
      </c>
      <c r="C14" s="965" t="s">
        <v>462</v>
      </c>
      <c r="D14" s="553">
        <v>14.4</v>
      </c>
      <c r="E14" s="553">
        <v>3.5</v>
      </c>
      <c r="F14" s="553">
        <v>5</v>
      </c>
      <c r="G14" s="553">
        <v>6</v>
      </c>
      <c r="H14" s="553">
        <v>7</v>
      </c>
      <c r="I14" s="553">
        <v>8</v>
      </c>
      <c r="J14" s="554">
        <f>SUM(E14:I14)</f>
        <v>29.5</v>
      </c>
    </row>
    <row r="15" spans="1:10" s="551" customFormat="1" ht="27.75" customHeight="1">
      <c r="A15" s="560" t="s">
        <v>452</v>
      </c>
      <c r="B15" s="561" t="s">
        <v>473</v>
      </c>
      <c r="C15" s="562" t="s">
        <v>308</v>
      </c>
      <c r="D15" s="971"/>
      <c r="E15" s="563">
        <v>118.5185185185185</v>
      </c>
      <c r="F15" s="563">
        <v>121.875</v>
      </c>
      <c r="G15" s="563">
        <v>112.82051282051282</v>
      </c>
      <c r="H15" s="563">
        <v>113.63636363636364</v>
      </c>
      <c r="I15" s="563">
        <v>110.00000000000001</v>
      </c>
      <c r="J15" s="550"/>
    </row>
    <row r="16" spans="1:10" s="551" customFormat="1" ht="15.75">
      <c r="A16" s="548" t="s">
        <v>102</v>
      </c>
      <c r="B16" s="963" t="s">
        <v>474</v>
      </c>
      <c r="C16" s="964"/>
      <c r="D16" s="549">
        <v>44.72</v>
      </c>
      <c r="E16" s="549">
        <v>13</v>
      </c>
      <c r="F16" s="549">
        <v>16</v>
      </c>
      <c r="G16" s="549">
        <v>23</v>
      </c>
      <c r="H16" s="549">
        <v>33</v>
      </c>
      <c r="I16" s="549">
        <v>45</v>
      </c>
      <c r="J16" s="550">
        <f>SUM(E16:I16)</f>
        <v>130</v>
      </c>
    </row>
    <row r="17" spans="1:10" s="551" customFormat="1" ht="24" customHeight="1">
      <c r="A17" s="548" t="s">
        <v>443</v>
      </c>
      <c r="B17" s="963" t="s">
        <v>475</v>
      </c>
      <c r="C17" s="965" t="s">
        <v>462</v>
      </c>
      <c r="D17" s="553">
        <v>41.02</v>
      </c>
      <c r="E17" s="549">
        <v>13</v>
      </c>
      <c r="F17" s="549">
        <v>16</v>
      </c>
      <c r="G17" s="549">
        <v>23</v>
      </c>
      <c r="H17" s="549">
        <v>33</v>
      </c>
      <c r="I17" s="549">
        <v>45</v>
      </c>
      <c r="J17" s="550">
        <f>SUM(E17:I17)</f>
        <v>130</v>
      </c>
    </row>
    <row r="18" spans="1:10" s="551" customFormat="1" ht="15.75">
      <c r="A18" s="552"/>
      <c r="B18" s="966" t="s">
        <v>476</v>
      </c>
      <c r="C18" s="965" t="s">
        <v>462</v>
      </c>
      <c r="D18" s="553">
        <v>23.68</v>
      </c>
      <c r="E18" s="553">
        <v>5</v>
      </c>
      <c r="F18" s="553">
        <v>7</v>
      </c>
      <c r="G18" s="553">
        <v>10</v>
      </c>
      <c r="H18" s="553">
        <v>15</v>
      </c>
      <c r="I18" s="553">
        <v>20</v>
      </c>
      <c r="J18" s="554">
        <f>SUM(E18:I18)</f>
        <v>57</v>
      </c>
    </row>
    <row r="19" spans="1:10" s="558" customFormat="1" ht="15.75">
      <c r="A19" s="564"/>
      <c r="B19" s="968" t="s">
        <v>477</v>
      </c>
      <c r="C19" s="972" t="s">
        <v>462</v>
      </c>
      <c r="D19" s="556">
        <v>0</v>
      </c>
      <c r="E19" s="556"/>
      <c r="F19" s="556"/>
      <c r="G19" s="556"/>
      <c r="H19" s="556"/>
      <c r="I19" s="556"/>
      <c r="J19" s="557">
        <v>0</v>
      </c>
    </row>
    <row r="20" spans="1:10" s="551" customFormat="1" ht="24" customHeight="1">
      <c r="A20" s="548" t="s">
        <v>446</v>
      </c>
      <c r="B20" s="963" t="s">
        <v>478</v>
      </c>
      <c r="C20" s="964"/>
      <c r="D20" s="549"/>
      <c r="E20" s="549"/>
      <c r="F20" s="549"/>
      <c r="G20" s="549"/>
      <c r="H20" s="549"/>
      <c r="I20" s="549"/>
      <c r="J20" s="550"/>
    </row>
    <row r="21" spans="1:10" s="551" customFormat="1" ht="15.75" customHeight="1">
      <c r="A21" s="552"/>
      <c r="B21" s="966" t="s">
        <v>479</v>
      </c>
      <c r="C21" s="965" t="s">
        <v>462</v>
      </c>
      <c r="D21" s="973">
        <v>11.29</v>
      </c>
      <c r="E21" s="549">
        <v>1</v>
      </c>
      <c r="F21" s="549">
        <v>2</v>
      </c>
      <c r="G21" s="549">
        <v>3</v>
      </c>
      <c r="H21" s="549">
        <v>5</v>
      </c>
      <c r="I21" s="549">
        <v>7</v>
      </c>
      <c r="J21" s="554">
        <f>SUM(E21:I21)</f>
        <v>18</v>
      </c>
    </row>
    <row r="22" spans="1:10" s="551" customFormat="1" ht="18.75" customHeight="1">
      <c r="A22" s="552"/>
      <c r="B22" s="966" t="s">
        <v>471</v>
      </c>
      <c r="C22" s="965" t="s">
        <v>462</v>
      </c>
      <c r="D22" s="973">
        <v>18.44</v>
      </c>
      <c r="E22" s="553">
        <v>5</v>
      </c>
      <c r="F22" s="553">
        <v>5.7</v>
      </c>
      <c r="G22" s="553">
        <v>8</v>
      </c>
      <c r="H22" s="553">
        <v>11</v>
      </c>
      <c r="I22" s="553">
        <v>15</v>
      </c>
      <c r="J22" s="554">
        <f>SUM(E22:I22)</f>
        <v>44.7</v>
      </c>
    </row>
    <row r="23" spans="1:10" s="551" customFormat="1" ht="19.5" customHeight="1">
      <c r="A23" s="552"/>
      <c r="B23" s="966" t="s">
        <v>710</v>
      </c>
      <c r="C23" s="965" t="s">
        <v>462</v>
      </c>
      <c r="D23" s="973">
        <v>14.97</v>
      </c>
      <c r="E23" s="553">
        <v>7</v>
      </c>
      <c r="F23" s="553">
        <v>8.3</v>
      </c>
      <c r="G23" s="553">
        <v>12</v>
      </c>
      <c r="H23" s="553">
        <v>17</v>
      </c>
      <c r="I23" s="553">
        <v>23</v>
      </c>
      <c r="J23" s="554">
        <f>SUM(E23:I23)</f>
        <v>67.3</v>
      </c>
    </row>
    <row r="24" spans="1:10" s="551" customFormat="1" ht="24" customHeight="1">
      <c r="A24" s="560" t="s">
        <v>452</v>
      </c>
      <c r="B24" s="561" t="s">
        <v>473</v>
      </c>
      <c r="C24" s="562" t="s">
        <v>308</v>
      </c>
      <c r="D24" s="549">
        <v>115</v>
      </c>
      <c r="E24" s="563">
        <v>144.44444444444443</v>
      </c>
      <c r="F24" s="563">
        <v>123.07692307692308</v>
      </c>
      <c r="G24" s="563">
        <v>143.75</v>
      </c>
      <c r="H24" s="563">
        <v>143.47826086956522</v>
      </c>
      <c r="I24" s="563">
        <v>136.36363636363635</v>
      </c>
      <c r="J24" s="554"/>
    </row>
    <row r="25" spans="1:10" s="551" customFormat="1" ht="23.25" customHeight="1">
      <c r="A25" s="560" t="s">
        <v>115</v>
      </c>
      <c r="B25" s="561" t="s">
        <v>480</v>
      </c>
      <c r="C25" s="553" t="s">
        <v>309</v>
      </c>
      <c r="D25" s="549">
        <v>52.04</v>
      </c>
      <c r="E25" s="549">
        <v>19</v>
      </c>
      <c r="F25" s="549">
        <v>23</v>
      </c>
      <c r="G25" s="549">
        <v>21</v>
      </c>
      <c r="H25" s="549">
        <v>17</v>
      </c>
      <c r="I25" s="549">
        <v>10</v>
      </c>
      <c r="J25" s="550">
        <f>SUM(E25:I25)</f>
        <v>90</v>
      </c>
    </row>
    <row r="26" spans="1:10" s="551" customFormat="1" ht="24" customHeight="1">
      <c r="A26" s="565"/>
      <c r="B26" s="566" t="s">
        <v>481</v>
      </c>
      <c r="C26" s="567" t="s">
        <v>308</v>
      </c>
      <c r="D26" s="568">
        <v>50</v>
      </c>
      <c r="E26" s="568">
        <v>42.22222222222222</v>
      </c>
      <c r="F26" s="568">
        <v>41.81818181818181</v>
      </c>
      <c r="G26" s="568">
        <v>31.343283582089555</v>
      </c>
      <c r="H26" s="568">
        <v>20.481927710843372</v>
      </c>
      <c r="I26" s="568">
        <v>10</v>
      </c>
      <c r="J26" s="569">
        <f>J25/J7*100</f>
        <v>40.909090909090914</v>
      </c>
    </row>
    <row r="27" spans="1:10" ht="16.5">
      <c r="A27" s="454"/>
      <c r="B27" s="455"/>
      <c r="C27" s="430"/>
      <c r="D27" s="454"/>
      <c r="E27" s="454"/>
      <c r="F27" s="431"/>
      <c r="G27" s="431"/>
      <c r="H27" s="431"/>
      <c r="I27" s="454"/>
      <c r="J27" s="431"/>
    </row>
    <row r="28" spans="1:10" ht="16.5">
      <c r="A28" s="454"/>
      <c r="B28" s="455"/>
      <c r="C28" s="430"/>
      <c r="D28" s="454"/>
      <c r="E28" s="454"/>
      <c r="F28" s="431"/>
      <c r="G28" s="431"/>
      <c r="H28" s="431"/>
      <c r="I28" s="454"/>
      <c r="J28" s="431"/>
    </row>
    <row r="29" spans="1:10" ht="16.5">
      <c r="A29" s="454"/>
      <c r="B29" s="455"/>
      <c r="C29" s="430"/>
      <c r="D29" s="454"/>
      <c r="E29" s="454"/>
      <c r="F29" s="431"/>
      <c r="G29" s="431"/>
      <c r="H29" s="431"/>
      <c r="I29" s="454"/>
      <c r="J29" s="431"/>
    </row>
    <row r="30" spans="1:10" ht="16.5">
      <c r="A30" s="454"/>
      <c r="B30" s="455"/>
      <c r="C30" s="430"/>
      <c r="D30" s="454"/>
      <c r="E30" s="454"/>
      <c r="F30" s="431"/>
      <c r="G30" s="431"/>
      <c r="H30" s="431"/>
      <c r="I30" s="454"/>
      <c r="J30" s="431"/>
    </row>
    <row r="31" spans="1:10" ht="16.5">
      <c r="A31" s="454"/>
      <c r="B31" s="455"/>
      <c r="C31" s="430"/>
      <c r="D31" s="454"/>
      <c r="E31" s="454"/>
      <c r="F31" s="431"/>
      <c r="G31" s="431"/>
      <c r="H31" s="431"/>
      <c r="I31" s="454"/>
      <c r="J31" s="431"/>
    </row>
    <row r="32" spans="1:10" ht="16.5">
      <c r="A32" s="454"/>
      <c r="B32" s="455"/>
      <c r="C32" s="430"/>
      <c r="D32" s="454"/>
      <c r="E32" s="454"/>
      <c r="F32" s="431"/>
      <c r="G32" s="431"/>
      <c r="H32" s="431"/>
      <c r="I32" s="454"/>
      <c r="J32" s="431"/>
    </row>
    <row r="33" spans="1:10" ht="16.5">
      <c r="A33" s="454"/>
      <c r="B33" s="455"/>
      <c r="C33" s="430"/>
      <c r="D33" s="454"/>
      <c r="E33" s="454"/>
      <c r="F33" s="431"/>
      <c r="G33" s="431"/>
      <c r="H33" s="431"/>
      <c r="I33" s="454"/>
      <c r="J33" s="431"/>
    </row>
    <row r="34" spans="1:10" ht="16.5">
      <c r="A34" s="454"/>
      <c r="B34" s="455"/>
      <c r="C34" s="430"/>
      <c r="D34" s="454"/>
      <c r="E34" s="454"/>
      <c r="F34" s="431"/>
      <c r="G34" s="431"/>
      <c r="H34" s="431"/>
      <c r="I34" s="454"/>
      <c r="J34" s="431"/>
    </row>
    <row r="35" spans="1:10" ht="16.5">
      <c r="A35" s="454"/>
      <c r="B35" s="455"/>
      <c r="C35" s="430"/>
      <c r="D35" s="454"/>
      <c r="E35" s="454"/>
      <c r="F35" s="431"/>
      <c r="G35" s="431"/>
      <c r="H35" s="431"/>
      <c r="I35" s="454"/>
      <c r="J35" s="431"/>
    </row>
    <row r="36" spans="1:10" ht="16.5">
      <c r="A36" s="454"/>
      <c r="B36" s="455"/>
      <c r="C36" s="430"/>
      <c r="D36" s="454"/>
      <c r="E36" s="454"/>
      <c r="F36" s="431"/>
      <c r="G36" s="431"/>
      <c r="H36" s="431"/>
      <c r="I36" s="454"/>
      <c r="J36" s="431"/>
    </row>
    <row r="37" spans="1:10" ht="16.5">
      <c r="A37" s="454"/>
      <c r="B37" s="455"/>
      <c r="C37" s="430"/>
      <c r="D37" s="454"/>
      <c r="E37" s="454"/>
      <c r="F37" s="431"/>
      <c r="G37" s="431"/>
      <c r="H37" s="431"/>
      <c r="I37" s="454"/>
      <c r="J37" s="431"/>
    </row>
    <row r="38" spans="1:10" ht="16.5">
      <c r="A38" s="454"/>
      <c r="B38" s="455"/>
      <c r="C38" s="430"/>
      <c r="D38" s="454"/>
      <c r="E38" s="454"/>
      <c r="F38" s="431"/>
      <c r="G38" s="431"/>
      <c r="H38" s="431"/>
      <c r="I38" s="454"/>
      <c r="J38" s="431"/>
    </row>
    <row r="39" spans="1:10" ht="16.5">
      <c r="A39" s="454"/>
      <c r="B39" s="455"/>
      <c r="C39" s="430"/>
      <c r="D39" s="454"/>
      <c r="E39" s="454"/>
      <c r="F39" s="431"/>
      <c r="G39" s="431"/>
      <c r="H39" s="431"/>
      <c r="I39" s="454"/>
      <c r="J39" s="431"/>
    </row>
    <row r="40" spans="1:10" ht="16.5">
      <c r="A40" s="454"/>
      <c r="B40" s="455"/>
      <c r="C40" s="430"/>
      <c r="D40" s="454"/>
      <c r="E40" s="454"/>
      <c r="F40" s="431"/>
      <c r="G40" s="431"/>
      <c r="H40" s="431"/>
      <c r="I40" s="454"/>
      <c r="J40" s="431"/>
    </row>
    <row r="41" spans="1:10" ht="16.5">
      <c r="A41" s="454"/>
      <c r="B41" s="455"/>
      <c r="C41" s="430"/>
      <c r="D41" s="454"/>
      <c r="E41" s="454"/>
      <c r="F41" s="431"/>
      <c r="G41" s="431"/>
      <c r="H41" s="431"/>
      <c r="I41" s="454"/>
      <c r="J41" s="431"/>
    </row>
    <row r="42" spans="1:10" ht="16.5">
      <c r="A42" s="454"/>
      <c r="B42" s="455"/>
      <c r="C42" s="430"/>
      <c r="D42" s="454"/>
      <c r="E42" s="454"/>
      <c r="F42" s="431"/>
      <c r="G42" s="431"/>
      <c r="H42" s="431"/>
      <c r="I42" s="454"/>
      <c r="J42" s="431"/>
    </row>
    <row r="43" spans="1:10" ht="16.5">
      <c r="A43" s="454"/>
      <c r="B43" s="455"/>
      <c r="C43" s="430"/>
      <c r="D43" s="454"/>
      <c r="E43" s="454"/>
      <c r="F43" s="431"/>
      <c r="G43" s="431"/>
      <c r="H43" s="431"/>
      <c r="I43" s="454"/>
      <c r="J43" s="431"/>
    </row>
    <row r="44" spans="1:10" ht="16.5">
      <c r="A44" s="454"/>
      <c r="B44" s="455"/>
      <c r="C44" s="430"/>
      <c r="D44" s="454"/>
      <c r="E44" s="454"/>
      <c r="F44" s="431"/>
      <c r="G44" s="431"/>
      <c r="H44" s="431"/>
      <c r="I44" s="454"/>
      <c r="J44" s="431"/>
    </row>
    <row r="45" spans="1:10" ht="16.5">
      <c r="A45" s="454"/>
      <c r="B45" s="455"/>
      <c r="C45" s="430"/>
      <c r="D45" s="454"/>
      <c r="E45" s="454"/>
      <c r="F45" s="431"/>
      <c r="G45" s="431"/>
      <c r="H45" s="431"/>
      <c r="I45" s="454"/>
      <c r="J45" s="431"/>
    </row>
    <row r="46" spans="1:10" ht="16.5">
      <c r="A46" s="454"/>
      <c r="B46" s="455"/>
      <c r="C46" s="430"/>
      <c r="D46" s="454"/>
      <c r="E46" s="454"/>
      <c r="F46" s="431"/>
      <c r="G46" s="431"/>
      <c r="H46" s="431"/>
      <c r="I46" s="454"/>
      <c r="J46" s="431"/>
    </row>
    <row r="47" spans="1:10" ht="16.5">
      <c r="A47" s="454"/>
      <c r="B47" s="455"/>
      <c r="C47" s="430"/>
      <c r="D47" s="454"/>
      <c r="E47" s="454"/>
      <c r="F47" s="431"/>
      <c r="G47" s="431"/>
      <c r="H47" s="431"/>
      <c r="I47" s="454"/>
      <c r="J47" s="431"/>
    </row>
    <row r="48" spans="1:10" ht="16.5">
      <c r="A48" s="454"/>
      <c r="B48" s="455"/>
      <c r="C48" s="430"/>
      <c r="D48" s="454"/>
      <c r="E48" s="454"/>
      <c r="F48" s="431"/>
      <c r="G48" s="431"/>
      <c r="H48" s="431"/>
      <c r="I48" s="454"/>
      <c r="J48" s="431"/>
    </row>
    <row r="49" spans="1:10" ht="16.5">
      <c r="A49" s="454"/>
      <c r="B49" s="455"/>
      <c r="C49" s="430"/>
      <c r="D49" s="454"/>
      <c r="E49" s="454"/>
      <c r="F49" s="431"/>
      <c r="G49" s="431"/>
      <c r="H49" s="431"/>
      <c r="I49" s="454"/>
      <c r="J49" s="431"/>
    </row>
    <row r="50" spans="1:10" ht="16.5">
      <c r="A50" s="454"/>
      <c r="B50" s="455"/>
      <c r="C50" s="430"/>
      <c r="D50" s="454"/>
      <c r="E50" s="454"/>
      <c r="F50" s="431"/>
      <c r="G50" s="431"/>
      <c r="H50" s="431"/>
      <c r="I50" s="454"/>
      <c r="J50" s="431"/>
    </row>
    <row r="51" spans="1:10" ht="16.5">
      <c r="A51" s="454"/>
      <c r="B51" s="455"/>
      <c r="C51" s="430"/>
      <c r="D51" s="454"/>
      <c r="E51" s="454"/>
      <c r="F51" s="431"/>
      <c r="G51" s="431"/>
      <c r="H51" s="431"/>
      <c r="I51" s="454"/>
      <c r="J51" s="431"/>
    </row>
    <row r="52" spans="1:10" ht="16.5">
      <c r="A52" s="454"/>
      <c r="B52" s="455"/>
      <c r="C52" s="430"/>
      <c r="D52" s="454"/>
      <c r="E52" s="454"/>
      <c r="F52" s="431"/>
      <c r="G52" s="431"/>
      <c r="H52" s="431"/>
      <c r="I52" s="454"/>
      <c r="J52" s="431"/>
    </row>
    <row r="53" spans="1:10" ht="16.5">
      <c r="A53" s="454"/>
      <c r="B53" s="455"/>
      <c r="C53" s="430"/>
      <c r="D53" s="454"/>
      <c r="E53" s="454"/>
      <c r="F53" s="431"/>
      <c r="G53" s="431"/>
      <c r="H53" s="431"/>
      <c r="I53" s="454"/>
      <c r="J53" s="431"/>
    </row>
    <row r="54" spans="1:10" ht="16.5">
      <c r="A54" s="454"/>
      <c r="B54" s="455"/>
      <c r="C54" s="430"/>
      <c r="D54" s="454"/>
      <c r="E54" s="454"/>
      <c r="F54" s="431"/>
      <c r="G54" s="431"/>
      <c r="H54" s="431"/>
      <c r="I54" s="454"/>
      <c r="J54" s="431"/>
    </row>
    <row r="55" spans="1:10" ht="16.5">
      <c r="A55" s="454"/>
      <c r="B55" s="455"/>
      <c r="C55" s="430"/>
      <c r="D55" s="454"/>
      <c r="E55" s="454"/>
      <c r="F55" s="431"/>
      <c r="G55" s="431"/>
      <c r="H55" s="431"/>
      <c r="I55" s="454"/>
      <c r="J55" s="431"/>
    </row>
    <row r="56" spans="1:10" ht="16.5">
      <c r="A56" s="454"/>
      <c r="B56" s="455"/>
      <c r="C56" s="430"/>
      <c r="D56" s="454"/>
      <c r="E56" s="454"/>
      <c r="F56" s="431"/>
      <c r="G56" s="431"/>
      <c r="H56" s="431"/>
      <c r="I56" s="454"/>
      <c r="J56" s="431"/>
    </row>
    <row r="57" spans="1:10" ht="16.5">
      <c r="A57" s="454"/>
      <c r="B57" s="455"/>
      <c r="C57" s="430"/>
      <c r="D57" s="454"/>
      <c r="E57" s="454"/>
      <c r="F57" s="431"/>
      <c r="G57" s="431"/>
      <c r="H57" s="431"/>
      <c r="I57" s="454"/>
      <c r="J57" s="431"/>
    </row>
    <row r="58" spans="1:10" ht="16.5">
      <c r="A58" s="454"/>
      <c r="B58" s="455"/>
      <c r="C58" s="430"/>
      <c r="D58" s="454"/>
      <c r="E58" s="454"/>
      <c r="F58" s="431"/>
      <c r="G58" s="431"/>
      <c r="H58" s="431"/>
      <c r="I58" s="454"/>
      <c r="J58" s="431"/>
    </row>
    <row r="59" spans="1:10" ht="16.5">
      <c r="A59" s="454"/>
      <c r="B59" s="455"/>
      <c r="C59" s="430"/>
      <c r="D59" s="454"/>
      <c r="E59" s="454"/>
      <c r="F59" s="431"/>
      <c r="G59" s="431"/>
      <c r="H59" s="431"/>
      <c r="I59" s="454"/>
      <c r="J59" s="431"/>
    </row>
    <row r="60" spans="1:10" ht="16.5">
      <c r="A60" s="454"/>
      <c r="B60" s="455"/>
      <c r="C60" s="430"/>
      <c r="D60" s="454"/>
      <c r="E60" s="454"/>
      <c r="F60" s="431"/>
      <c r="G60" s="431"/>
      <c r="H60" s="431"/>
      <c r="I60" s="454"/>
      <c r="J60" s="431"/>
    </row>
    <row r="61" spans="1:10" ht="16.5">
      <c r="A61" s="454"/>
      <c r="B61" s="455"/>
      <c r="C61" s="430"/>
      <c r="D61" s="454"/>
      <c r="E61" s="454"/>
      <c r="F61" s="431"/>
      <c r="G61" s="431"/>
      <c r="H61" s="431"/>
      <c r="I61" s="454"/>
      <c r="J61" s="431"/>
    </row>
    <row r="62" spans="1:10" ht="16.5">
      <c r="A62" s="454"/>
      <c r="B62" s="455"/>
      <c r="C62" s="430"/>
      <c r="D62" s="454"/>
      <c r="E62" s="454"/>
      <c r="F62" s="431"/>
      <c r="G62" s="431"/>
      <c r="H62" s="431"/>
      <c r="I62" s="454"/>
      <c r="J62" s="431"/>
    </row>
    <row r="63" spans="1:10" ht="16.5">
      <c r="A63" s="454"/>
      <c r="B63" s="455"/>
      <c r="C63" s="430"/>
      <c r="D63" s="454"/>
      <c r="E63" s="454"/>
      <c r="F63" s="431"/>
      <c r="G63" s="431"/>
      <c r="H63" s="431"/>
      <c r="I63" s="454"/>
      <c r="J63" s="431"/>
    </row>
    <row r="64" spans="1:10" ht="16.5">
      <c r="A64" s="454"/>
      <c r="B64" s="455"/>
      <c r="C64" s="430"/>
      <c r="D64" s="454"/>
      <c r="E64" s="454"/>
      <c r="F64" s="431"/>
      <c r="G64" s="431"/>
      <c r="H64" s="431"/>
      <c r="I64" s="454"/>
      <c r="J64" s="431"/>
    </row>
    <row r="65" spans="1:10" ht="16.5">
      <c r="A65" s="454"/>
      <c r="B65" s="455"/>
      <c r="C65" s="430"/>
      <c r="D65" s="454"/>
      <c r="E65" s="454"/>
      <c r="F65" s="431"/>
      <c r="G65" s="431"/>
      <c r="H65" s="431"/>
      <c r="I65" s="454"/>
      <c r="J65" s="431"/>
    </row>
    <row r="66" spans="1:10" ht="16.5">
      <c r="A66" s="454"/>
      <c r="B66" s="455"/>
      <c r="C66" s="430"/>
      <c r="D66" s="454"/>
      <c r="E66" s="454"/>
      <c r="F66" s="431"/>
      <c r="G66" s="431"/>
      <c r="H66" s="431"/>
      <c r="I66" s="454"/>
      <c r="J66" s="431"/>
    </row>
    <row r="67" spans="1:10" ht="16.5">
      <c r="A67" s="454"/>
      <c r="B67" s="455"/>
      <c r="C67" s="430"/>
      <c r="D67" s="454"/>
      <c r="E67" s="454"/>
      <c r="F67" s="431"/>
      <c r="G67" s="431"/>
      <c r="H67" s="431"/>
      <c r="I67" s="454"/>
      <c r="J67" s="431"/>
    </row>
    <row r="68" spans="1:10" ht="16.5">
      <c r="A68" s="454"/>
      <c r="B68" s="455"/>
      <c r="C68" s="430"/>
      <c r="D68" s="454"/>
      <c r="E68" s="454"/>
      <c r="F68" s="431"/>
      <c r="G68" s="431"/>
      <c r="H68" s="431"/>
      <c r="I68" s="454"/>
      <c r="J68" s="431"/>
    </row>
    <row r="69" spans="1:10" ht="16.5">
      <c r="A69" s="454"/>
      <c r="B69" s="455"/>
      <c r="C69" s="430"/>
      <c r="D69" s="454"/>
      <c r="E69" s="454"/>
      <c r="F69" s="431"/>
      <c r="G69" s="431"/>
      <c r="H69" s="431"/>
      <c r="I69" s="454"/>
      <c r="J69" s="431"/>
    </row>
    <row r="70" spans="1:10" ht="16.5">
      <c r="A70" s="454"/>
      <c r="B70" s="455"/>
      <c r="C70" s="430"/>
      <c r="D70" s="454"/>
      <c r="E70" s="454"/>
      <c r="F70" s="431"/>
      <c r="G70" s="431"/>
      <c r="H70" s="431"/>
      <c r="I70" s="454"/>
      <c r="J70" s="431"/>
    </row>
    <row r="71" spans="1:10" ht="16.5">
      <c r="A71" s="454"/>
      <c r="B71" s="455"/>
      <c r="C71" s="430"/>
      <c r="D71" s="454"/>
      <c r="E71" s="454"/>
      <c r="F71" s="431"/>
      <c r="G71" s="431"/>
      <c r="H71" s="431"/>
      <c r="I71" s="454"/>
      <c r="J71" s="431"/>
    </row>
    <row r="72" spans="1:10" ht="16.5">
      <c r="A72" s="454"/>
      <c r="B72" s="455"/>
      <c r="C72" s="430"/>
      <c r="D72" s="454"/>
      <c r="E72" s="454"/>
      <c r="F72" s="431"/>
      <c r="G72" s="431"/>
      <c r="H72" s="431"/>
      <c r="I72" s="454"/>
      <c r="J72" s="431"/>
    </row>
    <row r="73" spans="1:10" ht="16.5">
      <c r="A73" s="454"/>
      <c r="B73" s="455"/>
      <c r="C73" s="430"/>
      <c r="D73" s="454"/>
      <c r="E73" s="454"/>
      <c r="F73" s="431"/>
      <c r="G73" s="431"/>
      <c r="H73" s="431"/>
      <c r="I73" s="454"/>
      <c r="J73" s="431"/>
    </row>
    <row r="74" spans="1:10" ht="16.5">
      <c r="A74" s="454"/>
      <c r="B74" s="455"/>
      <c r="C74" s="430"/>
      <c r="D74" s="454"/>
      <c r="E74" s="454"/>
      <c r="F74" s="431"/>
      <c r="G74" s="431"/>
      <c r="H74" s="431"/>
      <c r="I74" s="454"/>
      <c r="J74" s="431"/>
    </row>
    <row r="75" spans="1:10" ht="16.5">
      <c r="A75" s="454"/>
      <c r="B75" s="455"/>
      <c r="C75" s="430"/>
      <c r="D75" s="454"/>
      <c r="E75" s="454"/>
      <c r="F75" s="431"/>
      <c r="G75" s="431"/>
      <c r="H75" s="431"/>
      <c r="I75" s="454"/>
      <c r="J75" s="431"/>
    </row>
    <row r="76" spans="1:10" ht="16.5">
      <c r="A76" s="454"/>
      <c r="B76" s="455"/>
      <c r="C76" s="430"/>
      <c r="D76" s="454"/>
      <c r="E76" s="454"/>
      <c r="F76" s="431"/>
      <c r="G76" s="431"/>
      <c r="H76" s="431"/>
      <c r="I76" s="454"/>
      <c r="J76" s="431"/>
    </row>
    <row r="77" spans="1:10" ht="16.5">
      <c r="A77" s="454"/>
      <c r="B77" s="455"/>
      <c r="C77" s="430"/>
      <c r="D77" s="454"/>
      <c r="E77" s="454"/>
      <c r="F77" s="431"/>
      <c r="G77" s="431"/>
      <c r="H77" s="431"/>
      <c r="I77" s="454"/>
      <c r="J77" s="431"/>
    </row>
    <row r="78" spans="1:10" ht="16.5">
      <c r="A78" s="454"/>
      <c r="B78" s="455"/>
      <c r="C78" s="430"/>
      <c r="D78" s="454"/>
      <c r="E78" s="454"/>
      <c r="F78" s="431"/>
      <c r="G78" s="431"/>
      <c r="H78" s="431"/>
      <c r="I78" s="454"/>
      <c r="J78" s="431"/>
    </row>
    <row r="79" spans="1:10" ht="16.5">
      <c r="A79" s="454"/>
      <c r="B79" s="455"/>
      <c r="C79" s="430"/>
      <c r="D79" s="454"/>
      <c r="E79" s="454"/>
      <c r="F79" s="431"/>
      <c r="G79" s="431"/>
      <c r="H79" s="431"/>
      <c r="I79" s="454"/>
      <c r="J79" s="431"/>
    </row>
    <row r="80" spans="1:10" ht="16.5">
      <c r="A80" s="454"/>
      <c r="B80" s="455"/>
      <c r="C80" s="430"/>
      <c r="D80" s="454"/>
      <c r="E80" s="454"/>
      <c r="F80" s="431"/>
      <c r="G80" s="431"/>
      <c r="H80" s="431"/>
      <c r="I80" s="454"/>
      <c r="J80" s="431"/>
    </row>
    <row r="81" spans="1:10" ht="16.5">
      <c r="A81" s="454"/>
      <c r="B81" s="455"/>
      <c r="C81" s="430"/>
      <c r="D81" s="454"/>
      <c r="E81" s="454"/>
      <c r="F81" s="431"/>
      <c r="G81" s="431"/>
      <c r="H81" s="431"/>
      <c r="I81" s="454"/>
      <c r="J81" s="431"/>
    </row>
    <row r="82" spans="1:10" ht="16.5">
      <c r="A82" s="454"/>
      <c r="B82" s="455"/>
      <c r="C82" s="430"/>
      <c r="D82" s="454"/>
      <c r="E82" s="454"/>
      <c r="F82" s="431"/>
      <c r="G82" s="431"/>
      <c r="H82" s="431"/>
      <c r="I82" s="454"/>
      <c r="J82" s="431"/>
    </row>
    <row r="83" spans="1:10" ht="16.5">
      <c r="A83" s="454"/>
      <c r="B83" s="455"/>
      <c r="C83" s="430"/>
      <c r="D83" s="454"/>
      <c r="E83" s="454"/>
      <c r="F83" s="431"/>
      <c r="G83" s="431"/>
      <c r="H83" s="431"/>
      <c r="I83" s="454"/>
      <c r="J83" s="431"/>
    </row>
    <row r="84" spans="1:10" ht="16.5">
      <c r="A84" s="454"/>
      <c r="B84" s="455"/>
      <c r="C84" s="430"/>
      <c r="D84" s="454"/>
      <c r="E84" s="454"/>
      <c r="F84" s="431"/>
      <c r="G84" s="431"/>
      <c r="H84" s="431"/>
      <c r="I84" s="454"/>
      <c r="J84" s="431"/>
    </row>
    <row r="85" spans="1:10" ht="16.5">
      <c r="A85" s="454"/>
      <c r="B85" s="455"/>
      <c r="C85" s="430"/>
      <c r="D85" s="454"/>
      <c r="E85" s="454"/>
      <c r="F85" s="431"/>
      <c r="G85" s="431"/>
      <c r="H85" s="431"/>
      <c r="I85" s="454"/>
      <c r="J85" s="431"/>
    </row>
    <row r="86" spans="1:10" ht="16.5">
      <c r="A86" s="454"/>
      <c r="B86" s="455"/>
      <c r="C86" s="430"/>
      <c r="D86" s="454"/>
      <c r="E86" s="454"/>
      <c r="F86" s="431"/>
      <c r="G86" s="431"/>
      <c r="H86" s="431"/>
      <c r="I86" s="454"/>
      <c r="J86" s="431"/>
    </row>
    <row r="87" spans="1:10" ht="16.5">
      <c r="A87" s="454"/>
      <c r="B87" s="455"/>
      <c r="C87" s="430"/>
      <c r="D87" s="454"/>
      <c r="E87" s="454"/>
      <c r="F87" s="431"/>
      <c r="G87" s="431"/>
      <c r="H87" s="431"/>
      <c r="I87" s="454"/>
      <c r="J87" s="431"/>
    </row>
    <row r="88" spans="1:10" ht="16.5">
      <c r="A88" s="454"/>
      <c r="B88" s="455"/>
      <c r="C88" s="430"/>
      <c r="D88" s="454"/>
      <c r="E88" s="454"/>
      <c r="F88" s="431"/>
      <c r="G88" s="431"/>
      <c r="H88" s="431"/>
      <c r="I88" s="454"/>
      <c r="J88" s="431"/>
    </row>
    <row r="89" spans="1:10" ht="16.5">
      <c r="A89" s="454"/>
      <c r="B89" s="455"/>
      <c r="C89" s="430"/>
      <c r="D89" s="454"/>
      <c r="E89" s="454"/>
      <c r="F89" s="431"/>
      <c r="G89" s="431"/>
      <c r="H89" s="431"/>
      <c r="I89" s="454"/>
      <c r="J89" s="431"/>
    </row>
    <row r="90" spans="1:10" ht="16.5">
      <c r="A90" s="454"/>
      <c r="B90" s="455"/>
      <c r="C90" s="430"/>
      <c r="D90" s="454"/>
      <c r="E90" s="454"/>
      <c r="F90" s="431"/>
      <c r="G90" s="431"/>
      <c r="H90" s="431"/>
      <c r="I90" s="454"/>
      <c r="J90" s="431"/>
    </row>
    <row r="91" spans="1:10" ht="16.5">
      <c r="A91" s="454"/>
      <c r="B91" s="455"/>
      <c r="C91" s="430"/>
      <c r="D91" s="454"/>
      <c r="E91" s="454"/>
      <c r="F91" s="431"/>
      <c r="G91" s="431"/>
      <c r="H91" s="431"/>
      <c r="I91" s="454"/>
      <c r="J91" s="431"/>
    </row>
    <row r="92" spans="1:10" ht="16.5">
      <c r="A92" s="454"/>
      <c r="B92" s="455"/>
      <c r="C92" s="430"/>
      <c r="D92" s="454"/>
      <c r="E92" s="454"/>
      <c r="F92" s="431"/>
      <c r="G92" s="431"/>
      <c r="H92" s="431"/>
      <c r="I92" s="454"/>
      <c r="J92" s="431"/>
    </row>
    <row r="93" spans="1:10" ht="16.5">
      <c r="A93" s="454"/>
      <c r="B93" s="455"/>
      <c r="C93" s="430"/>
      <c r="D93" s="454"/>
      <c r="E93" s="454"/>
      <c r="F93" s="431"/>
      <c r="G93" s="431"/>
      <c r="H93" s="431"/>
      <c r="I93" s="454"/>
      <c r="J93" s="431"/>
    </row>
    <row r="94" spans="1:10" ht="16.5">
      <c r="A94" s="454"/>
      <c r="B94" s="455"/>
      <c r="C94" s="430"/>
      <c r="D94" s="454"/>
      <c r="E94" s="454"/>
      <c r="F94" s="431"/>
      <c r="G94" s="431"/>
      <c r="H94" s="431"/>
      <c r="I94" s="454"/>
      <c r="J94" s="431"/>
    </row>
    <row r="95" spans="1:10" ht="16.5">
      <c r="A95" s="454"/>
      <c r="B95" s="455"/>
      <c r="C95" s="430"/>
      <c r="D95" s="454"/>
      <c r="E95" s="454"/>
      <c r="F95" s="431"/>
      <c r="G95" s="431"/>
      <c r="H95" s="431"/>
      <c r="I95" s="454"/>
      <c r="J95" s="431"/>
    </row>
    <row r="96" spans="1:10" ht="16.5">
      <c r="A96" s="454"/>
      <c r="B96" s="455"/>
      <c r="C96" s="430"/>
      <c r="D96" s="454"/>
      <c r="E96" s="454"/>
      <c r="F96" s="431"/>
      <c r="G96" s="431"/>
      <c r="H96" s="431"/>
      <c r="I96" s="454"/>
      <c r="J96" s="431"/>
    </row>
    <row r="97" spans="1:10" ht="16.5">
      <c r="A97" s="454"/>
      <c r="B97" s="455"/>
      <c r="C97" s="430"/>
      <c r="D97" s="454"/>
      <c r="E97" s="454"/>
      <c r="F97" s="431"/>
      <c r="G97" s="431"/>
      <c r="H97" s="431"/>
      <c r="I97" s="454"/>
      <c r="J97" s="431"/>
    </row>
    <row r="98" spans="1:10" ht="16.5">
      <c r="A98" s="454"/>
      <c r="B98" s="455"/>
      <c r="C98" s="430"/>
      <c r="D98" s="454"/>
      <c r="E98" s="454"/>
      <c r="F98" s="431"/>
      <c r="G98" s="431"/>
      <c r="H98" s="431"/>
      <c r="I98" s="454"/>
      <c r="J98" s="431"/>
    </row>
    <row r="99" spans="1:10" ht="16.5">
      <c r="A99" s="454"/>
      <c r="B99" s="455"/>
      <c r="C99" s="430"/>
      <c r="D99" s="454"/>
      <c r="E99" s="454"/>
      <c r="F99" s="431"/>
      <c r="G99" s="431"/>
      <c r="H99" s="431"/>
      <c r="I99" s="454"/>
      <c r="J99" s="431"/>
    </row>
    <row r="100" spans="1:10" ht="16.5">
      <c r="A100" s="454"/>
      <c r="B100" s="455"/>
      <c r="C100" s="430"/>
      <c r="D100" s="454"/>
      <c r="E100" s="454"/>
      <c r="F100" s="431"/>
      <c r="G100" s="431"/>
      <c r="H100" s="431"/>
      <c r="I100" s="454"/>
      <c r="J100" s="431"/>
    </row>
    <row r="101" spans="1:10" ht="16.5">
      <c r="A101" s="454"/>
      <c r="B101" s="455"/>
      <c r="C101" s="430"/>
      <c r="D101" s="454"/>
      <c r="E101" s="454"/>
      <c r="F101" s="431"/>
      <c r="G101" s="431"/>
      <c r="H101" s="431"/>
      <c r="I101" s="454"/>
      <c r="J101" s="431"/>
    </row>
    <row r="102" spans="1:10" ht="16.5">
      <c r="A102" s="454"/>
      <c r="B102" s="455"/>
      <c r="C102" s="430"/>
      <c r="D102" s="454"/>
      <c r="E102" s="454"/>
      <c r="F102" s="431"/>
      <c r="G102" s="431"/>
      <c r="H102" s="431"/>
      <c r="I102" s="454"/>
      <c r="J102" s="431"/>
    </row>
    <row r="103" spans="1:10" ht="16.5">
      <c r="A103" s="454"/>
      <c r="B103" s="455"/>
      <c r="C103" s="430"/>
      <c r="D103" s="454"/>
      <c r="E103" s="454"/>
      <c r="F103" s="431"/>
      <c r="G103" s="431"/>
      <c r="H103" s="431"/>
      <c r="I103" s="454"/>
      <c r="J103" s="431"/>
    </row>
    <row r="104" spans="1:10" ht="16.5">
      <c r="A104" s="454"/>
      <c r="B104" s="455"/>
      <c r="C104" s="430"/>
      <c r="D104" s="454"/>
      <c r="E104" s="454"/>
      <c r="F104" s="431"/>
      <c r="G104" s="431"/>
      <c r="H104" s="431"/>
      <c r="I104" s="454"/>
      <c r="J104" s="431"/>
    </row>
    <row r="105" spans="1:10" ht="16.5">
      <c r="A105" s="454"/>
      <c r="B105" s="455"/>
      <c r="C105" s="430"/>
      <c r="D105" s="454"/>
      <c r="E105" s="454"/>
      <c r="F105" s="431"/>
      <c r="G105" s="431"/>
      <c r="H105" s="431"/>
      <c r="I105" s="454"/>
      <c r="J105" s="431"/>
    </row>
    <row r="106" spans="1:10" ht="16.5">
      <c r="A106" s="454"/>
      <c r="B106" s="455"/>
      <c r="C106" s="430"/>
      <c r="D106" s="454"/>
      <c r="E106" s="454"/>
      <c r="F106" s="431"/>
      <c r="G106" s="431"/>
      <c r="H106" s="431"/>
      <c r="I106" s="454"/>
      <c r="J106" s="431"/>
    </row>
    <row r="107" spans="1:10" ht="16.5">
      <c r="A107" s="454"/>
      <c r="B107" s="455"/>
      <c r="C107" s="430"/>
      <c r="D107" s="454"/>
      <c r="E107" s="454"/>
      <c r="F107" s="431"/>
      <c r="G107" s="431"/>
      <c r="H107" s="431"/>
      <c r="I107" s="454"/>
      <c r="J107" s="431"/>
    </row>
    <row r="108" spans="1:10" ht="16.5">
      <c r="A108" s="454"/>
      <c r="B108" s="455"/>
      <c r="C108" s="430"/>
      <c r="D108" s="454"/>
      <c r="E108" s="454"/>
      <c r="F108" s="431"/>
      <c r="G108" s="431"/>
      <c r="H108" s="431"/>
      <c r="I108" s="454"/>
      <c r="J108" s="431"/>
    </row>
    <row r="109" spans="1:10" ht="16.5">
      <c r="A109" s="454"/>
      <c r="B109" s="455"/>
      <c r="C109" s="430"/>
      <c r="D109" s="454"/>
      <c r="E109" s="454"/>
      <c r="F109" s="431"/>
      <c r="G109" s="431"/>
      <c r="H109" s="431"/>
      <c r="I109" s="454"/>
      <c r="J109" s="431"/>
    </row>
    <row r="110" spans="1:10" ht="16.5">
      <c r="A110" s="454"/>
      <c r="B110" s="455"/>
      <c r="C110" s="430"/>
      <c r="D110" s="454"/>
      <c r="E110" s="454"/>
      <c r="F110" s="431"/>
      <c r="G110" s="431"/>
      <c r="H110" s="431"/>
      <c r="I110" s="454"/>
      <c r="J110" s="431"/>
    </row>
    <row r="111" spans="1:10" ht="16.5">
      <c r="A111" s="454"/>
      <c r="B111" s="455"/>
      <c r="C111" s="430"/>
      <c r="D111" s="454"/>
      <c r="E111" s="454"/>
      <c r="F111" s="431"/>
      <c r="G111" s="431"/>
      <c r="H111" s="431"/>
      <c r="I111" s="454"/>
      <c r="J111" s="431"/>
    </row>
    <row r="112" spans="1:10" ht="16.5">
      <c r="A112" s="454"/>
      <c r="B112" s="455"/>
      <c r="C112" s="430"/>
      <c r="D112" s="454"/>
      <c r="E112" s="454"/>
      <c r="F112" s="431"/>
      <c r="G112" s="431"/>
      <c r="H112" s="431"/>
      <c r="I112" s="454"/>
      <c r="J112" s="431"/>
    </row>
    <row r="113" spans="1:10" ht="16.5">
      <c r="A113" s="454"/>
      <c r="B113" s="455"/>
      <c r="C113" s="430"/>
      <c r="D113" s="454"/>
      <c r="E113" s="454"/>
      <c r="F113" s="431"/>
      <c r="G113" s="431"/>
      <c r="H113" s="431"/>
      <c r="I113" s="454"/>
      <c r="J113" s="431"/>
    </row>
    <row r="114" spans="1:10" ht="16.5">
      <c r="A114" s="454"/>
      <c r="B114" s="455"/>
      <c r="C114" s="430"/>
      <c r="D114" s="454"/>
      <c r="E114" s="454"/>
      <c r="F114" s="431"/>
      <c r="G114" s="431"/>
      <c r="H114" s="431"/>
      <c r="I114" s="454"/>
      <c r="J114" s="431"/>
    </row>
    <row r="115" spans="1:10" ht="16.5">
      <c r="A115" s="454"/>
      <c r="B115" s="455"/>
      <c r="C115" s="430"/>
      <c r="D115" s="454"/>
      <c r="E115" s="454"/>
      <c r="F115" s="431"/>
      <c r="G115" s="431"/>
      <c r="H115" s="431"/>
      <c r="I115" s="454"/>
      <c r="J115" s="431"/>
    </row>
    <row r="116" spans="1:10" ht="16.5">
      <c r="A116" s="454"/>
      <c r="B116" s="455"/>
      <c r="C116" s="430"/>
      <c r="D116" s="454"/>
      <c r="E116" s="454"/>
      <c r="F116" s="431"/>
      <c r="G116" s="431"/>
      <c r="H116" s="431"/>
      <c r="I116" s="454"/>
      <c r="J116" s="431"/>
    </row>
    <row r="117" spans="1:10" ht="16.5">
      <c r="A117" s="454"/>
      <c r="B117" s="455"/>
      <c r="C117" s="430"/>
      <c r="D117" s="454"/>
      <c r="E117" s="454"/>
      <c r="F117" s="431"/>
      <c r="G117" s="431"/>
      <c r="H117" s="431"/>
      <c r="I117" s="454"/>
      <c r="J117" s="431"/>
    </row>
    <row r="118" spans="1:10" ht="16.5">
      <c r="A118" s="454"/>
      <c r="B118" s="455"/>
      <c r="C118" s="430"/>
      <c r="D118" s="454"/>
      <c r="E118" s="454"/>
      <c r="F118" s="431"/>
      <c r="G118" s="431"/>
      <c r="H118" s="431"/>
      <c r="I118" s="454"/>
      <c r="J118" s="431"/>
    </row>
    <row r="119" spans="1:10" ht="16.5">
      <c r="A119" s="454"/>
      <c r="B119" s="455"/>
      <c r="C119" s="430"/>
      <c r="D119" s="454"/>
      <c r="E119" s="454"/>
      <c r="F119" s="431"/>
      <c r="G119" s="431"/>
      <c r="H119" s="431"/>
      <c r="I119" s="454"/>
      <c r="J119" s="431"/>
    </row>
    <row r="120" spans="1:10" ht="16.5">
      <c r="A120" s="454"/>
      <c r="B120" s="455"/>
      <c r="C120" s="430"/>
      <c r="D120" s="454"/>
      <c r="E120" s="454"/>
      <c r="F120" s="431"/>
      <c r="G120" s="431"/>
      <c r="H120" s="431"/>
      <c r="I120" s="454"/>
      <c r="J120" s="431"/>
    </row>
    <row r="121" spans="1:10" ht="16.5">
      <c r="A121" s="454"/>
      <c r="B121" s="455"/>
      <c r="C121" s="430"/>
      <c r="D121" s="454"/>
      <c r="E121" s="454"/>
      <c r="F121" s="431"/>
      <c r="G121" s="431"/>
      <c r="H121" s="431"/>
      <c r="I121" s="454"/>
      <c r="J121" s="431"/>
    </row>
    <row r="122" spans="1:10" ht="16.5">
      <c r="A122" s="454"/>
      <c r="B122" s="455"/>
      <c r="C122" s="430"/>
      <c r="D122" s="454"/>
      <c r="E122" s="454"/>
      <c r="F122" s="431"/>
      <c r="G122" s="431"/>
      <c r="H122" s="431"/>
      <c r="I122" s="454"/>
      <c r="J122" s="431"/>
    </row>
    <row r="123" spans="1:10" ht="16.5">
      <c r="A123" s="454"/>
      <c r="B123" s="455"/>
      <c r="C123" s="430"/>
      <c r="D123" s="454"/>
      <c r="E123" s="454"/>
      <c r="F123" s="431"/>
      <c r="G123" s="431"/>
      <c r="H123" s="431"/>
      <c r="I123" s="454"/>
      <c r="J123" s="431"/>
    </row>
    <row r="124" spans="1:10" ht="16.5">
      <c r="A124" s="454"/>
      <c r="B124" s="455"/>
      <c r="C124" s="430"/>
      <c r="D124" s="454"/>
      <c r="E124" s="454"/>
      <c r="F124" s="431"/>
      <c r="G124" s="431"/>
      <c r="H124" s="431"/>
      <c r="I124" s="454"/>
      <c r="J124" s="431"/>
    </row>
    <row r="125" spans="1:10" ht="16.5">
      <c r="A125" s="454"/>
      <c r="B125" s="455"/>
      <c r="C125" s="430"/>
      <c r="D125" s="454"/>
      <c r="E125" s="454"/>
      <c r="F125" s="431"/>
      <c r="G125" s="431"/>
      <c r="H125" s="431"/>
      <c r="I125" s="454"/>
      <c r="J125" s="431"/>
    </row>
    <row r="126" spans="1:10" ht="16.5">
      <c r="A126" s="454"/>
      <c r="B126" s="455"/>
      <c r="C126" s="430"/>
      <c r="D126" s="454"/>
      <c r="E126" s="454"/>
      <c r="F126" s="431"/>
      <c r="G126" s="431"/>
      <c r="H126" s="431"/>
      <c r="I126" s="454"/>
      <c r="J126" s="431"/>
    </row>
    <row r="127" spans="1:10" ht="16.5">
      <c r="A127" s="454"/>
      <c r="B127" s="455"/>
      <c r="C127" s="430"/>
      <c r="D127" s="454"/>
      <c r="E127" s="454"/>
      <c r="F127" s="431"/>
      <c r="G127" s="431"/>
      <c r="H127" s="431"/>
      <c r="I127" s="454"/>
      <c r="J127" s="431"/>
    </row>
    <row r="128" spans="1:10" ht="16.5">
      <c r="A128" s="454"/>
      <c r="B128" s="455"/>
      <c r="C128" s="430"/>
      <c r="D128" s="454"/>
      <c r="E128" s="454"/>
      <c r="F128" s="431"/>
      <c r="G128" s="431"/>
      <c r="H128" s="431"/>
      <c r="I128" s="454"/>
      <c r="J128" s="431"/>
    </row>
    <row r="129" spans="1:10" ht="16.5">
      <c r="A129" s="454"/>
      <c r="B129" s="455"/>
      <c r="C129" s="430"/>
      <c r="D129" s="454"/>
      <c r="E129" s="454"/>
      <c r="F129" s="431"/>
      <c r="G129" s="431"/>
      <c r="H129" s="431"/>
      <c r="I129" s="454"/>
      <c r="J129" s="431"/>
    </row>
    <row r="130" spans="1:10" ht="16.5">
      <c r="A130" s="454"/>
      <c r="B130" s="455"/>
      <c r="C130" s="430"/>
      <c r="D130" s="454"/>
      <c r="E130" s="454"/>
      <c r="F130" s="431"/>
      <c r="G130" s="431"/>
      <c r="H130" s="431"/>
      <c r="I130" s="454"/>
      <c r="J130" s="431"/>
    </row>
    <row r="131" spans="1:10" ht="16.5">
      <c r="A131" s="454"/>
      <c r="B131" s="455"/>
      <c r="C131" s="430"/>
      <c r="D131" s="454"/>
      <c r="E131" s="454"/>
      <c r="F131" s="431"/>
      <c r="G131" s="431"/>
      <c r="H131" s="431"/>
      <c r="I131" s="454"/>
      <c r="J131" s="431"/>
    </row>
    <row r="132" spans="1:10" ht="16.5">
      <c r="A132" s="454"/>
      <c r="B132" s="455"/>
      <c r="C132" s="430"/>
      <c r="D132" s="454"/>
      <c r="E132" s="454"/>
      <c r="F132" s="431"/>
      <c r="G132" s="431"/>
      <c r="H132" s="431"/>
      <c r="I132" s="454"/>
      <c r="J132" s="431"/>
    </row>
    <row r="133" spans="1:10" ht="16.5">
      <c r="A133" s="454"/>
      <c r="B133" s="455"/>
      <c r="C133" s="430"/>
      <c r="D133" s="454"/>
      <c r="E133" s="454"/>
      <c r="F133" s="431"/>
      <c r="G133" s="431"/>
      <c r="H133" s="431"/>
      <c r="I133" s="454"/>
      <c r="J133" s="431"/>
    </row>
    <row r="134" spans="1:10" ht="16.5">
      <c r="A134" s="454"/>
      <c r="B134" s="455"/>
      <c r="C134" s="430"/>
      <c r="D134" s="454"/>
      <c r="E134" s="454"/>
      <c r="F134" s="431"/>
      <c r="G134" s="431"/>
      <c r="H134" s="431"/>
      <c r="I134" s="454"/>
      <c r="J134" s="431"/>
    </row>
    <row r="135" spans="1:10" ht="16.5">
      <c r="A135" s="454"/>
      <c r="B135" s="455"/>
      <c r="C135" s="430"/>
      <c r="D135" s="454"/>
      <c r="E135" s="454"/>
      <c r="F135" s="431"/>
      <c r="G135" s="431"/>
      <c r="H135" s="431"/>
      <c r="I135" s="454"/>
      <c r="J135" s="431"/>
    </row>
    <row r="136" spans="1:10" ht="16.5">
      <c r="A136" s="454"/>
      <c r="B136" s="455"/>
      <c r="C136" s="430"/>
      <c r="D136" s="454"/>
      <c r="E136" s="454"/>
      <c r="F136" s="431"/>
      <c r="G136" s="431"/>
      <c r="H136" s="431"/>
      <c r="I136" s="454"/>
      <c r="J136" s="431"/>
    </row>
    <row r="137" spans="1:10" ht="16.5">
      <c r="A137" s="454"/>
      <c r="B137" s="455"/>
      <c r="C137" s="430"/>
      <c r="D137" s="454"/>
      <c r="E137" s="454"/>
      <c r="F137" s="431"/>
      <c r="G137" s="431"/>
      <c r="H137" s="431"/>
      <c r="I137" s="454"/>
      <c r="J137" s="431"/>
    </row>
    <row r="138" spans="1:10" ht="16.5">
      <c r="A138" s="454"/>
      <c r="B138" s="455"/>
      <c r="C138" s="430"/>
      <c r="D138" s="454"/>
      <c r="E138" s="454"/>
      <c r="F138" s="431"/>
      <c r="G138" s="431"/>
      <c r="H138" s="431"/>
      <c r="I138" s="454"/>
      <c r="J138" s="431"/>
    </row>
    <row r="139" spans="1:10" ht="16.5">
      <c r="A139" s="454"/>
      <c r="B139" s="455"/>
      <c r="C139" s="430"/>
      <c r="D139" s="454"/>
      <c r="E139" s="454"/>
      <c r="F139" s="431"/>
      <c r="G139" s="431"/>
      <c r="H139" s="431"/>
      <c r="I139" s="454"/>
      <c r="J139" s="431"/>
    </row>
    <row r="140" spans="1:10" ht="16.5">
      <c r="A140" s="454"/>
      <c r="B140" s="455"/>
      <c r="C140" s="430"/>
      <c r="D140" s="454"/>
      <c r="E140" s="454"/>
      <c r="F140" s="431"/>
      <c r="G140" s="431"/>
      <c r="H140" s="431"/>
      <c r="I140" s="454"/>
      <c r="J140" s="431"/>
    </row>
    <row r="141" spans="1:10" ht="16.5">
      <c r="A141" s="454"/>
      <c r="B141" s="455"/>
      <c r="C141" s="430"/>
      <c r="D141" s="454"/>
      <c r="E141" s="454"/>
      <c r="F141" s="431"/>
      <c r="G141" s="431"/>
      <c r="H141" s="431"/>
      <c r="I141" s="454"/>
      <c r="J141" s="431"/>
    </row>
    <row r="142" spans="1:10" ht="16.5">
      <c r="A142" s="454"/>
      <c r="B142" s="455"/>
      <c r="C142" s="430"/>
      <c r="D142" s="454"/>
      <c r="E142" s="454"/>
      <c r="F142" s="431"/>
      <c r="G142" s="431"/>
      <c r="H142" s="431"/>
      <c r="I142" s="454"/>
      <c r="J142" s="431"/>
    </row>
    <row r="143" spans="1:10" ht="16.5">
      <c r="A143" s="454"/>
      <c r="B143" s="455"/>
      <c r="C143" s="430"/>
      <c r="D143" s="454"/>
      <c r="E143" s="454"/>
      <c r="F143" s="431"/>
      <c r="G143" s="431"/>
      <c r="H143" s="431"/>
      <c r="I143" s="454"/>
      <c r="J143" s="431"/>
    </row>
    <row r="144" spans="1:10" ht="16.5">
      <c r="A144" s="454"/>
      <c r="B144" s="455"/>
      <c r="C144" s="430"/>
      <c r="D144" s="454"/>
      <c r="E144" s="454"/>
      <c r="F144" s="431"/>
      <c r="G144" s="431"/>
      <c r="H144" s="431"/>
      <c r="I144" s="454"/>
      <c r="J144" s="431"/>
    </row>
    <row r="145" spans="1:10" ht="16.5">
      <c r="A145" s="454"/>
      <c r="B145" s="455"/>
      <c r="C145" s="430"/>
      <c r="D145" s="454"/>
      <c r="E145" s="454"/>
      <c r="F145" s="431"/>
      <c r="G145" s="431"/>
      <c r="H145" s="431"/>
      <c r="I145" s="454"/>
      <c r="J145" s="431"/>
    </row>
    <row r="146" spans="1:10" ht="16.5">
      <c r="A146" s="454"/>
      <c r="B146" s="455"/>
      <c r="C146" s="430"/>
      <c r="D146" s="454"/>
      <c r="E146" s="454"/>
      <c r="F146" s="431"/>
      <c r="G146" s="431"/>
      <c r="H146" s="431"/>
      <c r="I146" s="454"/>
      <c r="J146" s="431"/>
    </row>
    <row r="147" spans="1:10" ht="16.5">
      <c r="A147" s="454"/>
      <c r="B147" s="455"/>
      <c r="C147" s="430"/>
      <c r="D147" s="454"/>
      <c r="E147" s="454"/>
      <c r="F147" s="431"/>
      <c r="G147" s="431"/>
      <c r="H147" s="431"/>
      <c r="I147" s="454"/>
      <c r="J147" s="431"/>
    </row>
    <row r="148" spans="1:10" ht="16.5">
      <c r="A148" s="454"/>
      <c r="B148" s="455"/>
      <c r="C148" s="430"/>
      <c r="D148" s="454"/>
      <c r="E148" s="454"/>
      <c r="F148" s="431"/>
      <c r="G148" s="431"/>
      <c r="H148" s="431"/>
      <c r="I148" s="454"/>
      <c r="J148" s="431"/>
    </row>
    <row r="149" spans="1:10" ht="16.5">
      <c r="A149" s="454"/>
      <c r="B149" s="455"/>
      <c r="C149" s="430"/>
      <c r="D149" s="454"/>
      <c r="E149" s="454"/>
      <c r="F149" s="431"/>
      <c r="G149" s="431"/>
      <c r="H149" s="431"/>
      <c r="I149" s="454"/>
      <c r="J149" s="431"/>
    </row>
    <row r="150" spans="1:10" ht="16.5">
      <c r="A150" s="454"/>
      <c r="B150" s="455"/>
      <c r="C150" s="430"/>
      <c r="D150" s="454"/>
      <c r="E150" s="454"/>
      <c r="F150" s="431"/>
      <c r="G150" s="431"/>
      <c r="H150" s="431"/>
      <c r="I150" s="454"/>
      <c r="J150" s="431"/>
    </row>
    <row r="151" spans="1:10" ht="16.5">
      <c r="A151" s="454"/>
      <c r="B151" s="455"/>
      <c r="C151" s="430"/>
      <c r="D151" s="454"/>
      <c r="E151" s="454"/>
      <c r="F151" s="431"/>
      <c r="G151" s="431"/>
      <c r="H151" s="431"/>
      <c r="I151" s="454"/>
      <c r="J151" s="431"/>
    </row>
    <row r="152" spans="1:10" ht="16.5">
      <c r="A152" s="454"/>
      <c r="B152" s="455"/>
      <c r="C152" s="430"/>
      <c r="D152" s="454"/>
      <c r="E152" s="454"/>
      <c r="F152" s="431"/>
      <c r="G152" s="431"/>
      <c r="H152" s="431"/>
      <c r="I152" s="454"/>
      <c r="J152" s="431"/>
    </row>
    <row r="153" spans="1:10" ht="16.5">
      <c r="A153" s="454"/>
      <c r="B153" s="455"/>
      <c r="C153" s="430"/>
      <c r="D153" s="454"/>
      <c r="E153" s="454"/>
      <c r="F153" s="431"/>
      <c r="G153" s="431"/>
      <c r="H153" s="431"/>
      <c r="I153" s="454"/>
      <c r="J153" s="431"/>
    </row>
    <row r="154" spans="1:10" ht="16.5">
      <c r="A154" s="454"/>
      <c r="B154" s="455"/>
      <c r="C154" s="430"/>
      <c r="D154" s="454"/>
      <c r="E154" s="454"/>
      <c r="F154" s="431"/>
      <c r="G154" s="431"/>
      <c r="H154" s="431"/>
      <c r="I154" s="454"/>
      <c r="J154" s="431"/>
    </row>
    <row r="155" spans="1:10" ht="16.5">
      <c r="A155" s="454"/>
      <c r="B155" s="455"/>
      <c r="C155" s="430"/>
      <c r="D155" s="454"/>
      <c r="E155" s="454"/>
      <c r="F155" s="431"/>
      <c r="G155" s="431"/>
      <c r="H155" s="431"/>
      <c r="I155" s="454"/>
      <c r="J155" s="431"/>
    </row>
    <row r="156" spans="1:10" ht="16.5">
      <c r="A156" s="454"/>
      <c r="B156" s="455"/>
      <c r="C156" s="430"/>
      <c r="D156" s="454"/>
      <c r="E156" s="454"/>
      <c r="F156" s="431"/>
      <c r="G156" s="431"/>
      <c r="H156" s="431"/>
      <c r="I156" s="454"/>
      <c r="J156" s="431"/>
    </row>
    <row r="157" spans="1:10" ht="16.5">
      <c r="A157" s="454"/>
      <c r="B157" s="455"/>
      <c r="C157" s="430"/>
      <c r="D157" s="454"/>
      <c r="E157" s="454"/>
      <c r="F157" s="431"/>
      <c r="G157" s="431"/>
      <c r="H157" s="431"/>
      <c r="I157" s="454"/>
      <c r="J157" s="431"/>
    </row>
    <row r="158" spans="1:10" ht="16.5">
      <c r="A158" s="454"/>
      <c r="B158" s="455"/>
      <c r="C158" s="430"/>
      <c r="D158" s="454"/>
      <c r="E158" s="454"/>
      <c r="F158" s="431"/>
      <c r="G158" s="431"/>
      <c r="H158" s="431"/>
      <c r="I158" s="454"/>
      <c r="J158" s="431"/>
    </row>
    <row r="159" spans="1:10" ht="16.5">
      <c r="A159" s="454"/>
      <c r="B159" s="455"/>
      <c r="C159" s="430"/>
      <c r="D159" s="454"/>
      <c r="E159" s="454"/>
      <c r="F159" s="431"/>
      <c r="G159" s="431"/>
      <c r="H159" s="431"/>
      <c r="I159" s="454"/>
      <c r="J159" s="431"/>
    </row>
    <row r="160" spans="1:10" ht="16.5">
      <c r="A160" s="454"/>
      <c r="B160" s="455"/>
      <c r="C160" s="430"/>
      <c r="D160" s="454"/>
      <c r="E160" s="454"/>
      <c r="F160" s="431"/>
      <c r="G160" s="431"/>
      <c r="H160" s="431"/>
      <c r="I160" s="454"/>
      <c r="J160" s="431"/>
    </row>
    <row r="161" spans="1:10" ht="16.5">
      <c r="A161" s="454"/>
      <c r="B161" s="455"/>
      <c r="C161" s="430"/>
      <c r="D161" s="454"/>
      <c r="E161" s="454"/>
      <c r="F161" s="431"/>
      <c r="G161" s="431"/>
      <c r="H161" s="431"/>
      <c r="I161" s="454"/>
      <c r="J161" s="431"/>
    </row>
    <row r="162" spans="1:10" ht="16.5">
      <c r="A162" s="454"/>
      <c r="B162" s="455"/>
      <c r="C162" s="430"/>
      <c r="D162" s="454"/>
      <c r="E162" s="454"/>
      <c r="F162" s="431"/>
      <c r="G162" s="431"/>
      <c r="H162" s="431"/>
      <c r="I162" s="454"/>
      <c r="J162" s="431"/>
    </row>
    <row r="163" spans="1:10" ht="16.5">
      <c r="A163" s="454"/>
      <c r="B163" s="455"/>
      <c r="C163" s="430"/>
      <c r="D163" s="454"/>
      <c r="E163" s="454"/>
      <c r="F163" s="431"/>
      <c r="G163" s="431"/>
      <c r="H163" s="431"/>
      <c r="I163" s="454"/>
      <c r="J163" s="431"/>
    </row>
    <row r="164" spans="1:10" ht="16.5">
      <c r="A164" s="454"/>
      <c r="B164" s="455"/>
      <c r="C164" s="430"/>
      <c r="D164" s="454"/>
      <c r="E164" s="454"/>
      <c r="F164" s="431"/>
      <c r="G164" s="431"/>
      <c r="H164" s="431"/>
      <c r="I164" s="454"/>
      <c r="J164" s="431"/>
    </row>
    <row r="165" spans="1:10" ht="16.5">
      <c r="A165" s="454"/>
      <c r="B165" s="455"/>
      <c r="C165" s="430"/>
      <c r="D165" s="454"/>
      <c r="E165" s="454"/>
      <c r="F165" s="431"/>
      <c r="G165" s="431"/>
      <c r="H165" s="431"/>
      <c r="I165" s="454"/>
      <c r="J165" s="431"/>
    </row>
    <row r="166" spans="1:10" ht="16.5">
      <c r="A166" s="454"/>
      <c r="B166" s="455"/>
      <c r="C166" s="430"/>
      <c r="D166" s="454"/>
      <c r="E166" s="454"/>
      <c r="F166" s="431"/>
      <c r="G166" s="431"/>
      <c r="H166" s="431"/>
      <c r="I166" s="454"/>
      <c r="J166" s="431"/>
    </row>
    <row r="167" spans="1:10" ht="16.5">
      <c r="A167" s="454"/>
      <c r="B167" s="455"/>
      <c r="C167" s="430"/>
      <c r="D167" s="454"/>
      <c r="E167" s="454"/>
      <c r="F167" s="431"/>
      <c r="G167" s="431"/>
      <c r="H167" s="431"/>
      <c r="I167" s="454"/>
      <c r="J167" s="431"/>
    </row>
    <row r="168" spans="1:10" ht="16.5">
      <c r="A168" s="454"/>
      <c r="B168" s="455"/>
      <c r="C168" s="430"/>
      <c r="D168" s="454"/>
      <c r="E168" s="454"/>
      <c r="F168" s="431"/>
      <c r="G168" s="431"/>
      <c r="H168" s="431"/>
      <c r="I168" s="454"/>
      <c r="J168" s="431"/>
    </row>
    <row r="169" spans="1:10" ht="16.5">
      <c r="A169" s="454"/>
      <c r="B169" s="455"/>
      <c r="C169" s="430"/>
      <c r="D169" s="454"/>
      <c r="E169" s="454"/>
      <c r="F169" s="431"/>
      <c r="G169" s="431"/>
      <c r="H169" s="431"/>
      <c r="I169" s="454"/>
      <c r="J169" s="431"/>
    </row>
    <row r="170" spans="1:10" ht="16.5">
      <c r="A170" s="454"/>
      <c r="B170" s="455"/>
      <c r="C170" s="430"/>
      <c r="D170" s="454"/>
      <c r="E170" s="454"/>
      <c r="F170" s="431"/>
      <c r="G170" s="431"/>
      <c r="H170" s="431"/>
      <c r="I170" s="454"/>
      <c r="J170" s="431"/>
    </row>
    <row r="171" spans="1:10" ht="16.5">
      <c r="A171" s="454"/>
      <c r="B171" s="455"/>
      <c r="C171" s="430"/>
      <c r="D171" s="454"/>
      <c r="E171" s="454"/>
      <c r="F171" s="431"/>
      <c r="G171" s="431"/>
      <c r="H171" s="431"/>
      <c r="I171" s="454"/>
      <c r="J171" s="431"/>
    </row>
    <row r="172" spans="1:10" ht="16.5">
      <c r="A172" s="454"/>
      <c r="B172" s="455"/>
      <c r="C172" s="430"/>
      <c r="D172" s="454"/>
      <c r="E172" s="454"/>
      <c r="F172" s="431"/>
      <c r="G172" s="431"/>
      <c r="H172" s="431"/>
      <c r="I172" s="454"/>
      <c r="J172" s="431"/>
    </row>
    <row r="173" spans="1:10" ht="16.5">
      <c r="A173" s="454"/>
      <c r="B173" s="455"/>
      <c r="C173" s="430"/>
      <c r="D173" s="454"/>
      <c r="E173" s="454"/>
      <c r="F173" s="431"/>
      <c r="G173" s="431"/>
      <c r="H173" s="431"/>
      <c r="I173" s="454"/>
      <c r="J173" s="431"/>
    </row>
    <row r="174" spans="1:10" ht="16.5">
      <c r="A174" s="454"/>
      <c r="B174" s="455"/>
      <c r="C174" s="430"/>
      <c r="D174" s="454"/>
      <c r="E174" s="454"/>
      <c r="F174" s="431"/>
      <c r="G174" s="431"/>
      <c r="H174" s="431"/>
      <c r="I174" s="454"/>
      <c r="J174" s="431"/>
    </row>
    <row r="175" spans="1:10" ht="16.5">
      <c r="A175" s="454"/>
      <c r="B175" s="455"/>
      <c r="C175" s="430"/>
      <c r="D175" s="454"/>
      <c r="E175" s="454"/>
      <c r="F175" s="431"/>
      <c r="G175" s="431"/>
      <c r="H175" s="431"/>
      <c r="I175" s="454"/>
      <c r="J175" s="431"/>
    </row>
    <row r="176" spans="1:10" ht="16.5">
      <c r="A176" s="454"/>
      <c r="B176" s="455"/>
      <c r="C176" s="430"/>
      <c r="D176" s="454"/>
      <c r="E176" s="454"/>
      <c r="F176" s="431"/>
      <c r="G176" s="431"/>
      <c r="H176" s="431"/>
      <c r="I176" s="454"/>
      <c r="J176" s="431"/>
    </row>
    <row r="177" spans="1:10" ht="16.5">
      <c r="A177" s="454"/>
      <c r="B177" s="455"/>
      <c r="C177" s="430"/>
      <c r="D177" s="454"/>
      <c r="E177" s="454"/>
      <c r="F177" s="431"/>
      <c r="G177" s="431"/>
      <c r="H177" s="431"/>
      <c r="I177" s="454"/>
      <c r="J177" s="431"/>
    </row>
    <row r="178" spans="1:10" ht="16.5">
      <c r="A178" s="454"/>
      <c r="B178" s="455"/>
      <c r="C178" s="430"/>
      <c r="D178" s="454"/>
      <c r="E178" s="454"/>
      <c r="F178" s="431"/>
      <c r="G178" s="431"/>
      <c r="H178" s="431"/>
      <c r="I178" s="454"/>
      <c r="J178" s="431"/>
    </row>
    <row r="179" spans="1:10" ht="16.5">
      <c r="A179" s="454"/>
      <c r="B179" s="455"/>
      <c r="C179" s="430"/>
      <c r="D179" s="454"/>
      <c r="E179" s="454"/>
      <c r="F179" s="431"/>
      <c r="G179" s="431"/>
      <c r="H179" s="431"/>
      <c r="I179" s="454"/>
      <c r="J179" s="431"/>
    </row>
    <row r="180" spans="1:10" ht="16.5">
      <c r="A180" s="454"/>
      <c r="B180" s="455"/>
      <c r="C180" s="430"/>
      <c r="D180" s="454"/>
      <c r="E180" s="454"/>
      <c r="F180" s="431"/>
      <c r="G180" s="431"/>
      <c r="H180" s="431"/>
      <c r="I180" s="454"/>
      <c r="J180" s="431"/>
    </row>
    <row r="181" spans="1:10" ht="16.5">
      <c r="A181" s="454"/>
      <c r="B181" s="455"/>
      <c r="C181" s="430"/>
      <c r="D181" s="454"/>
      <c r="E181" s="454"/>
      <c r="F181" s="431"/>
      <c r="G181" s="431"/>
      <c r="H181" s="431"/>
      <c r="I181" s="454"/>
      <c r="J181" s="431"/>
    </row>
    <row r="182" spans="1:10" ht="16.5">
      <c r="A182" s="454"/>
      <c r="B182" s="455"/>
      <c r="C182" s="430"/>
      <c r="D182" s="454"/>
      <c r="E182" s="454"/>
      <c r="F182" s="431"/>
      <c r="G182" s="431"/>
      <c r="H182" s="431"/>
      <c r="I182" s="454"/>
      <c r="J182" s="431"/>
    </row>
    <row r="183" spans="1:10" ht="16.5">
      <c r="A183" s="454"/>
      <c r="B183" s="455"/>
      <c r="C183" s="430"/>
      <c r="D183" s="454"/>
      <c r="E183" s="454"/>
      <c r="F183" s="431"/>
      <c r="G183" s="431"/>
      <c r="H183" s="431"/>
      <c r="I183" s="454"/>
      <c r="J183" s="431"/>
    </row>
    <row r="184" spans="1:10" ht="16.5">
      <c r="A184" s="454"/>
      <c r="B184" s="455"/>
      <c r="C184" s="430"/>
      <c r="D184" s="454"/>
      <c r="E184" s="454"/>
      <c r="F184" s="431"/>
      <c r="G184" s="431"/>
      <c r="H184" s="431"/>
      <c r="I184" s="454"/>
      <c r="J184" s="431"/>
    </row>
    <row r="185" spans="1:10" ht="16.5">
      <c r="A185" s="454"/>
      <c r="B185" s="455"/>
      <c r="C185" s="430"/>
      <c r="D185" s="454"/>
      <c r="E185" s="454"/>
      <c r="F185" s="431"/>
      <c r="G185" s="431"/>
      <c r="H185" s="431"/>
      <c r="I185" s="454"/>
      <c r="J185" s="431"/>
    </row>
    <row r="186" spans="1:10" ht="16.5">
      <c r="A186" s="454"/>
      <c r="B186" s="455"/>
      <c r="C186" s="430"/>
      <c r="D186" s="454"/>
      <c r="E186" s="454"/>
      <c r="F186" s="431"/>
      <c r="G186" s="431"/>
      <c r="H186" s="431"/>
      <c r="I186" s="454"/>
      <c r="J186" s="431"/>
    </row>
    <row r="187" spans="1:10" ht="16.5">
      <c r="A187" s="454"/>
      <c r="B187" s="455"/>
      <c r="C187" s="430"/>
      <c r="D187" s="454"/>
      <c r="E187" s="454"/>
      <c r="F187" s="431"/>
      <c r="G187" s="431"/>
      <c r="H187" s="431"/>
      <c r="I187" s="454"/>
      <c r="J187" s="431"/>
    </row>
    <row r="188" spans="1:10" ht="16.5">
      <c r="A188" s="454"/>
      <c r="B188" s="455"/>
      <c r="C188" s="430"/>
      <c r="D188" s="454"/>
      <c r="E188" s="454"/>
      <c r="F188" s="431"/>
      <c r="G188" s="431"/>
      <c r="H188" s="431"/>
      <c r="I188" s="454"/>
      <c r="J188" s="431"/>
    </row>
    <row r="189" spans="1:10" ht="16.5">
      <c r="A189" s="454"/>
      <c r="B189" s="455"/>
      <c r="C189" s="430"/>
      <c r="D189" s="454"/>
      <c r="E189" s="454"/>
      <c r="F189" s="431"/>
      <c r="G189" s="431"/>
      <c r="H189" s="431"/>
      <c r="I189" s="454"/>
      <c r="J189" s="431"/>
    </row>
    <row r="190" spans="1:10" ht="16.5">
      <c r="A190" s="454"/>
      <c r="B190" s="455"/>
      <c r="C190" s="430"/>
      <c r="D190" s="454"/>
      <c r="E190" s="454"/>
      <c r="F190" s="431"/>
      <c r="G190" s="431"/>
      <c r="H190" s="431"/>
      <c r="I190" s="454"/>
      <c r="J190" s="431"/>
    </row>
    <row r="191" spans="1:10" ht="16.5">
      <c r="A191" s="454"/>
      <c r="B191" s="455"/>
      <c r="C191" s="430"/>
      <c r="D191" s="454"/>
      <c r="E191" s="454"/>
      <c r="F191" s="431"/>
      <c r="G191" s="431"/>
      <c r="H191" s="431"/>
      <c r="I191" s="454"/>
      <c r="J191" s="431"/>
    </row>
    <row r="192" spans="1:10" ht="16.5">
      <c r="A192" s="454"/>
      <c r="B192" s="455"/>
      <c r="C192" s="430"/>
      <c r="D192" s="454"/>
      <c r="E192" s="454"/>
      <c r="F192" s="431"/>
      <c r="G192" s="431"/>
      <c r="H192" s="431"/>
      <c r="I192" s="454"/>
      <c r="J192" s="431"/>
    </row>
    <row r="193" spans="1:10" ht="16.5">
      <c r="A193" s="454"/>
      <c r="B193" s="455"/>
      <c r="C193" s="430"/>
      <c r="D193" s="454"/>
      <c r="E193" s="454"/>
      <c r="F193" s="431"/>
      <c r="G193" s="431"/>
      <c r="H193" s="431"/>
      <c r="I193" s="454"/>
      <c r="J193" s="431"/>
    </row>
    <row r="194" spans="1:10" ht="16.5">
      <c r="A194" s="454"/>
      <c r="B194" s="455"/>
      <c r="C194" s="430"/>
      <c r="D194" s="454"/>
      <c r="E194" s="454"/>
      <c r="F194" s="431"/>
      <c r="G194" s="431"/>
      <c r="H194" s="431"/>
      <c r="I194" s="454"/>
      <c r="J194" s="431"/>
    </row>
    <row r="195" spans="1:10" ht="16.5">
      <c r="A195" s="454"/>
      <c r="B195" s="455"/>
      <c r="C195" s="430"/>
      <c r="D195" s="454"/>
      <c r="E195" s="454"/>
      <c r="F195" s="431"/>
      <c r="G195" s="431"/>
      <c r="H195" s="431"/>
      <c r="I195" s="454"/>
      <c r="J195" s="431"/>
    </row>
    <row r="196" spans="1:10" ht="16.5">
      <c r="A196" s="454"/>
      <c r="B196" s="455"/>
      <c r="C196" s="430"/>
      <c r="D196" s="454"/>
      <c r="E196" s="454"/>
      <c r="F196" s="431"/>
      <c r="G196" s="431"/>
      <c r="H196" s="431"/>
      <c r="I196" s="454"/>
      <c r="J196" s="431"/>
    </row>
    <row r="197" spans="1:10" ht="16.5">
      <c r="A197" s="454"/>
      <c r="B197" s="455"/>
      <c r="C197" s="430"/>
      <c r="D197" s="454"/>
      <c r="E197" s="454"/>
      <c r="F197" s="431"/>
      <c r="G197" s="431"/>
      <c r="H197" s="431"/>
      <c r="I197" s="454"/>
      <c r="J197" s="431"/>
    </row>
    <row r="198" spans="1:10" ht="16.5">
      <c r="A198" s="454"/>
      <c r="B198" s="455"/>
      <c r="C198" s="430"/>
      <c r="D198" s="454"/>
      <c r="E198" s="454"/>
      <c r="F198" s="431"/>
      <c r="G198" s="431"/>
      <c r="H198" s="431"/>
      <c r="I198" s="454"/>
      <c r="J198" s="431"/>
    </row>
    <row r="199" spans="1:10" ht="16.5">
      <c r="A199" s="454"/>
      <c r="B199" s="455"/>
      <c r="C199" s="430"/>
      <c r="D199" s="454"/>
      <c r="E199" s="454"/>
      <c r="F199" s="431"/>
      <c r="G199" s="431"/>
      <c r="H199" s="431"/>
      <c r="I199" s="454"/>
      <c r="J199" s="431"/>
    </row>
    <row r="200" spans="1:10" ht="16.5">
      <c r="A200" s="454"/>
      <c r="B200" s="455"/>
      <c r="C200" s="430"/>
      <c r="D200" s="454"/>
      <c r="E200" s="454"/>
      <c r="F200" s="431"/>
      <c r="G200" s="431"/>
      <c r="H200" s="431"/>
      <c r="I200" s="454"/>
      <c r="J200" s="431"/>
    </row>
    <row r="201" spans="1:10" ht="16.5">
      <c r="A201" s="454"/>
      <c r="B201" s="455"/>
      <c r="C201" s="430"/>
      <c r="D201" s="454"/>
      <c r="E201" s="454"/>
      <c r="F201" s="431"/>
      <c r="G201" s="431"/>
      <c r="H201" s="431"/>
      <c r="I201" s="454"/>
      <c r="J201" s="431"/>
    </row>
    <row r="202" spans="1:10" ht="16.5">
      <c r="A202" s="454"/>
      <c r="B202" s="455"/>
      <c r="C202" s="430"/>
      <c r="D202" s="454"/>
      <c r="E202" s="454"/>
      <c r="F202" s="431"/>
      <c r="G202" s="431"/>
      <c r="H202" s="431"/>
      <c r="I202" s="454"/>
      <c r="J202" s="431"/>
    </row>
    <row r="203" spans="1:10" ht="16.5">
      <c r="A203" s="454"/>
      <c r="B203" s="455"/>
      <c r="C203" s="430"/>
      <c r="D203" s="454"/>
      <c r="E203" s="454"/>
      <c r="F203" s="431"/>
      <c r="G203" s="431"/>
      <c r="H203" s="431"/>
      <c r="I203" s="454"/>
      <c r="J203" s="431"/>
    </row>
    <row r="204" spans="1:10" ht="16.5">
      <c r="A204" s="454"/>
      <c r="B204" s="455"/>
      <c r="C204" s="430"/>
      <c r="D204" s="454"/>
      <c r="E204" s="454"/>
      <c r="F204" s="431"/>
      <c r="G204" s="431"/>
      <c r="H204" s="431"/>
      <c r="I204" s="454"/>
      <c r="J204" s="431"/>
    </row>
    <row r="205" spans="1:10" ht="16.5">
      <c r="A205" s="454"/>
      <c r="B205" s="455"/>
      <c r="C205" s="430"/>
      <c r="D205" s="454"/>
      <c r="E205" s="454"/>
      <c r="F205" s="431"/>
      <c r="G205" s="431"/>
      <c r="H205" s="431"/>
      <c r="I205" s="454"/>
      <c r="J205" s="431"/>
    </row>
    <row r="206" spans="1:10" ht="16.5">
      <c r="A206" s="454"/>
      <c r="B206" s="455"/>
      <c r="C206" s="430"/>
      <c r="D206" s="454"/>
      <c r="E206" s="454"/>
      <c r="F206" s="431"/>
      <c r="G206" s="431"/>
      <c r="H206" s="431"/>
      <c r="I206" s="454"/>
      <c r="J206" s="431"/>
    </row>
    <row r="207" spans="1:10" ht="16.5">
      <c r="A207" s="454"/>
      <c r="B207" s="455"/>
      <c r="C207" s="430"/>
      <c r="D207" s="454"/>
      <c r="E207" s="454"/>
      <c r="F207" s="431"/>
      <c r="G207" s="431"/>
      <c r="H207" s="431"/>
      <c r="I207" s="454"/>
      <c r="J207" s="431"/>
    </row>
    <row r="208" spans="1:10" ht="16.5">
      <c r="A208" s="454"/>
      <c r="B208" s="455"/>
      <c r="C208" s="430"/>
      <c r="D208" s="454"/>
      <c r="E208" s="454"/>
      <c r="F208" s="431"/>
      <c r="G208" s="431"/>
      <c r="H208" s="431"/>
      <c r="I208" s="454"/>
      <c r="J208" s="431"/>
    </row>
    <row r="209" spans="1:10" ht="16.5">
      <c r="A209" s="454"/>
      <c r="B209" s="455"/>
      <c r="C209" s="430"/>
      <c r="D209" s="454"/>
      <c r="E209" s="454"/>
      <c r="F209" s="431"/>
      <c r="G209" s="431"/>
      <c r="H209" s="431"/>
      <c r="I209" s="454"/>
      <c r="J209" s="431"/>
    </row>
    <row r="210" spans="1:10" ht="16.5">
      <c r="A210" s="454"/>
      <c r="B210" s="455"/>
      <c r="C210" s="430"/>
      <c r="D210" s="454"/>
      <c r="E210" s="454"/>
      <c r="F210" s="431"/>
      <c r="G210" s="431"/>
      <c r="H210" s="431"/>
      <c r="I210" s="454"/>
      <c r="J210" s="431"/>
    </row>
    <row r="211" spans="1:10" ht="16.5">
      <c r="A211" s="454"/>
      <c r="B211" s="455"/>
      <c r="C211" s="430"/>
      <c r="D211" s="454"/>
      <c r="E211" s="454"/>
      <c r="F211" s="431"/>
      <c r="G211" s="431"/>
      <c r="H211" s="431"/>
      <c r="I211" s="454"/>
      <c r="J211" s="431"/>
    </row>
    <row r="212" spans="1:10" ht="16.5">
      <c r="A212" s="454"/>
      <c r="B212" s="455"/>
      <c r="C212" s="430"/>
      <c r="D212" s="454"/>
      <c r="E212" s="454"/>
      <c r="F212" s="431"/>
      <c r="G212" s="431"/>
      <c r="H212" s="431"/>
      <c r="I212" s="454"/>
      <c r="J212" s="431"/>
    </row>
    <row r="213" spans="1:10" ht="16.5">
      <c r="A213" s="454"/>
      <c r="B213" s="455"/>
      <c r="C213" s="430"/>
      <c r="D213" s="454"/>
      <c r="E213" s="454"/>
      <c r="F213" s="431"/>
      <c r="G213" s="431"/>
      <c r="H213" s="431"/>
      <c r="I213" s="454"/>
      <c r="J213" s="431"/>
    </row>
    <row r="214" spans="1:10" ht="16.5">
      <c r="A214" s="454"/>
      <c r="B214" s="455"/>
      <c r="C214" s="430"/>
      <c r="D214" s="454"/>
      <c r="E214" s="454"/>
      <c r="F214" s="431"/>
      <c r="G214" s="431"/>
      <c r="H214" s="431"/>
      <c r="I214" s="454"/>
      <c r="J214" s="431"/>
    </row>
    <row r="215" spans="1:10" ht="16.5">
      <c r="A215" s="454"/>
      <c r="B215" s="455"/>
      <c r="C215" s="430"/>
      <c r="D215" s="454"/>
      <c r="E215" s="454"/>
      <c r="F215" s="431"/>
      <c r="G215" s="431"/>
      <c r="H215" s="431"/>
      <c r="I215" s="454"/>
      <c r="J215" s="431"/>
    </row>
    <row r="216" spans="1:10" ht="16.5">
      <c r="A216" s="454"/>
      <c r="B216" s="455"/>
      <c r="C216" s="430"/>
      <c r="D216" s="454"/>
      <c r="E216" s="454"/>
      <c r="F216" s="431"/>
      <c r="G216" s="431"/>
      <c r="H216" s="431"/>
      <c r="I216" s="454"/>
      <c r="J216" s="431"/>
    </row>
    <row r="217" spans="1:10" ht="16.5">
      <c r="A217" s="454"/>
      <c r="B217" s="455"/>
      <c r="C217" s="430"/>
      <c r="D217" s="454"/>
      <c r="E217" s="454"/>
      <c r="F217" s="431"/>
      <c r="G217" s="431"/>
      <c r="H217" s="431"/>
      <c r="I217" s="454"/>
      <c r="J217" s="431"/>
    </row>
    <row r="218" spans="1:10" ht="16.5">
      <c r="A218" s="454"/>
      <c r="B218" s="455"/>
      <c r="C218" s="430"/>
      <c r="D218" s="454"/>
      <c r="E218" s="454"/>
      <c r="F218" s="431"/>
      <c r="G218" s="431"/>
      <c r="H218" s="431"/>
      <c r="I218" s="454"/>
      <c r="J218" s="431"/>
    </row>
    <row r="219" spans="1:10" ht="16.5">
      <c r="A219" s="454"/>
      <c r="B219" s="455"/>
      <c r="C219" s="430"/>
      <c r="D219" s="454"/>
      <c r="E219" s="454"/>
      <c r="F219" s="431"/>
      <c r="G219" s="431"/>
      <c r="H219" s="431"/>
      <c r="I219" s="454"/>
      <c r="J219" s="431"/>
    </row>
    <row r="220" spans="1:10" ht="16.5">
      <c r="A220" s="454"/>
      <c r="B220" s="455"/>
      <c r="C220" s="430"/>
      <c r="D220" s="454"/>
      <c r="E220" s="454"/>
      <c r="F220" s="431"/>
      <c r="G220" s="431"/>
      <c r="H220" s="431"/>
      <c r="I220" s="454"/>
      <c r="J220" s="431"/>
    </row>
    <row r="221" spans="1:10" ht="16.5">
      <c r="A221" s="454"/>
      <c r="B221" s="455"/>
      <c r="C221" s="430"/>
      <c r="D221" s="454"/>
      <c r="E221" s="454"/>
      <c r="F221" s="431"/>
      <c r="G221" s="431"/>
      <c r="H221" s="431"/>
      <c r="I221" s="454"/>
      <c r="J221" s="431"/>
    </row>
    <row r="222" spans="1:10" ht="16.5">
      <c r="A222" s="454"/>
      <c r="B222" s="455"/>
      <c r="C222" s="430"/>
      <c r="D222" s="454"/>
      <c r="E222" s="454"/>
      <c r="F222" s="431"/>
      <c r="G222" s="431"/>
      <c r="H222" s="431"/>
      <c r="I222" s="454"/>
      <c r="J222" s="431"/>
    </row>
    <row r="223" spans="1:10" ht="16.5">
      <c r="A223" s="454"/>
      <c r="B223" s="455"/>
      <c r="C223" s="430"/>
      <c r="D223" s="454"/>
      <c r="E223" s="454"/>
      <c r="F223" s="431"/>
      <c r="G223" s="431"/>
      <c r="H223" s="431"/>
      <c r="I223" s="454"/>
      <c r="J223" s="431"/>
    </row>
    <row r="224" spans="1:10" ht="16.5">
      <c r="A224" s="454"/>
      <c r="B224" s="455"/>
      <c r="C224" s="430"/>
      <c r="D224" s="454"/>
      <c r="E224" s="454"/>
      <c r="F224" s="431"/>
      <c r="G224" s="431"/>
      <c r="H224" s="431"/>
      <c r="I224" s="454"/>
      <c r="J224" s="431"/>
    </row>
    <row r="225" spans="1:10" ht="16.5">
      <c r="A225" s="454"/>
      <c r="B225" s="455"/>
      <c r="C225" s="430"/>
      <c r="D225" s="454"/>
      <c r="E225" s="454"/>
      <c r="F225" s="431"/>
      <c r="G225" s="431"/>
      <c r="H225" s="431"/>
      <c r="I225" s="454"/>
      <c r="J225" s="431"/>
    </row>
    <row r="226" spans="1:10" ht="16.5">
      <c r="A226" s="454"/>
      <c r="B226" s="455"/>
      <c r="C226" s="430"/>
      <c r="D226" s="454"/>
      <c r="E226" s="454"/>
      <c r="F226" s="431"/>
      <c r="G226" s="431"/>
      <c r="H226" s="431"/>
      <c r="I226" s="454"/>
      <c r="J226" s="431"/>
    </row>
    <row r="227" spans="1:10" ht="16.5">
      <c r="A227" s="454"/>
      <c r="B227" s="455"/>
      <c r="C227" s="430"/>
      <c r="D227" s="454"/>
      <c r="E227" s="454"/>
      <c r="F227" s="431"/>
      <c r="G227" s="431"/>
      <c r="H227" s="431"/>
      <c r="I227" s="454"/>
      <c r="J227" s="431"/>
    </row>
    <row r="228" spans="1:10" ht="16.5">
      <c r="A228" s="454"/>
      <c r="B228" s="455"/>
      <c r="C228" s="430"/>
      <c r="D228" s="454"/>
      <c r="E228" s="454"/>
      <c r="F228" s="431"/>
      <c r="G228" s="431"/>
      <c r="H228" s="431"/>
      <c r="I228" s="454"/>
      <c r="J228" s="431"/>
    </row>
    <row r="229" spans="1:10" ht="16.5">
      <c r="A229" s="454"/>
      <c r="B229" s="455"/>
      <c r="C229" s="430"/>
      <c r="D229" s="454"/>
      <c r="E229" s="454"/>
      <c r="F229" s="431"/>
      <c r="G229" s="431"/>
      <c r="H229" s="431"/>
      <c r="I229" s="454"/>
      <c r="J229" s="431"/>
    </row>
    <row r="230" spans="1:10" ht="16.5">
      <c r="A230" s="454"/>
      <c r="B230" s="455"/>
      <c r="C230" s="430"/>
      <c r="D230" s="454"/>
      <c r="E230" s="454"/>
      <c r="F230" s="431"/>
      <c r="G230" s="431"/>
      <c r="H230" s="431"/>
      <c r="I230" s="454"/>
      <c r="J230" s="431"/>
    </row>
    <row r="231" spans="1:10" ht="16.5">
      <c r="A231" s="454"/>
      <c r="B231" s="455"/>
      <c r="C231" s="430"/>
      <c r="D231" s="454"/>
      <c r="E231" s="454"/>
      <c r="F231" s="431"/>
      <c r="G231" s="431"/>
      <c r="H231" s="431"/>
      <c r="I231" s="454"/>
      <c r="J231" s="431"/>
    </row>
    <row r="232" spans="1:10" ht="16.5">
      <c r="A232" s="454"/>
      <c r="B232" s="455"/>
      <c r="C232" s="430"/>
      <c r="D232" s="454"/>
      <c r="E232" s="454"/>
      <c r="F232" s="431"/>
      <c r="G232" s="431"/>
      <c r="H232" s="431"/>
      <c r="I232" s="454"/>
      <c r="J232" s="431"/>
    </row>
    <row r="233" spans="1:10" ht="16.5">
      <c r="A233" s="454"/>
      <c r="B233" s="455"/>
      <c r="C233" s="430"/>
      <c r="D233" s="454"/>
      <c r="E233" s="454"/>
      <c r="F233" s="431"/>
      <c r="G233" s="431"/>
      <c r="H233" s="431"/>
      <c r="I233" s="454"/>
      <c r="J233" s="431"/>
    </row>
    <row r="234" spans="1:10" ht="16.5">
      <c r="A234" s="454"/>
      <c r="B234" s="455"/>
      <c r="C234" s="430"/>
      <c r="D234" s="454"/>
      <c r="E234" s="454"/>
      <c r="F234" s="431"/>
      <c r="G234" s="431"/>
      <c r="H234" s="431"/>
      <c r="I234" s="454"/>
      <c r="J234" s="431"/>
    </row>
    <row r="235" spans="1:10" ht="16.5">
      <c r="A235" s="454"/>
      <c r="B235" s="455"/>
      <c r="C235" s="430"/>
      <c r="D235" s="454"/>
      <c r="E235" s="454"/>
      <c r="F235" s="431"/>
      <c r="G235" s="431"/>
      <c r="H235" s="431"/>
      <c r="I235" s="454"/>
      <c r="J235" s="431"/>
    </row>
    <row r="236" spans="1:10" ht="16.5">
      <c r="A236" s="454"/>
      <c r="B236" s="455"/>
      <c r="C236" s="430"/>
      <c r="D236" s="454"/>
      <c r="E236" s="454"/>
      <c r="F236" s="431"/>
      <c r="G236" s="431"/>
      <c r="H236" s="431"/>
      <c r="I236" s="454"/>
      <c r="J236" s="431"/>
    </row>
    <row r="237" spans="1:10" ht="16.5">
      <c r="A237" s="454"/>
      <c r="B237" s="455"/>
      <c r="C237" s="430"/>
      <c r="D237" s="454"/>
      <c r="E237" s="454"/>
      <c r="F237" s="431"/>
      <c r="G237" s="431"/>
      <c r="H237" s="431"/>
      <c r="I237" s="454"/>
      <c r="J237" s="431"/>
    </row>
    <row r="238" spans="1:10" ht="16.5">
      <c r="A238" s="454"/>
      <c r="B238" s="455"/>
      <c r="C238" s="430"/>
      <c r="D238" s="454"/>
      <c r="E238" s="454"/>
      <c r="F238" s="431"/>
      <c r="G238" s="431"/>
      <c r="H238" s="431"/>
      <c r="I238" s="454"/>
      <c r="J238" s="431"/>
    </row>
    <row r="239" spans="1:10" ht="16.5">
      <c r="A239" s="454"/>
      <c r="B239" s="455"/>
      <c r="C239" s="430"/>
      <c r="D239" s="454"/>
      <c r="E239" s="454"/>
      <c r="F239" s="431"/>
      <c r="G239" s="431"/>
      <c r="H239" s="431"/>
      <c r="I239" s="454"/>
      <c r="J239" s="431"/>
    </row>
    <row r="240" spans="1:10" ht="16.5">
      <c r="A240" s="454"/>
      <c r="B240" s="455"/>
      <c r="C240" s="430"/>
      <c r="D240" s="454"/>
      <c r="E240" s="454"/>
      <c r="F240" s="431"/>
      <c r="G240" s="431"/>
      <c r="H240" s="431"/>
      <c r="I240" s="454"/>
      <c r="J240" s="431"/>
    </row>
    <row r="241" spans="1:10" ht="16.5">
      <c r="A241" s="454"/>
      <c r="B241" s="455"/>
      <c r="C241" s="430"/>
      <c r="D241" s="454"/>
      <c r="E241" s="454"/>
      <c r="F241" s="431"/>
      <c r="G241" s="431"/>
      <c r="H241" s="431"/>
      <c r="I241" s="454"/>
      <c r="J241" s="431"/>
    </row>
    <row r="242" spans="1:10" ht="16.5">
      <c r="A242" s="454"/>
      <c r="B242" s="455"/>
      <c r="C242" s="430"/>
      <c r="D242" s="454"/>
      <c r="E242" s="454"/>
      <c r="F242" s="431"/>
      <c r="G242" s="431"/>
      <c r="H242" s="431"/>
      <c r="I242" s="454"/>
      <c r="J242" s="431"/>
    </row>
    <row r="243" spans="1:10" ht="16.5">
      <c r="A243" s="454"/>
      <c r="B243" s="455"/>
      <c r="C243" s="430"/>
      <c r="D243" s="454"/>
      <c r="E243" s="454"/>
      <c r="F243" s="431"/>
      <c r="G243" s="431"/>
      <c r="H243" s="431"/>
      <c r="I243" s="454"/>
      <c r="J243" s="431"/>
    </row>
  </sheetData>
  <sheetProtection/>
  <mergeCells count="3">
    <mergeCell ref="I1:J1"/>
    <mergeCell ref="B2:J2"/>
    <mergeCell ref="A3:J3"/>
  </mergeCells>
  <printOptions horizontalCentered="1"/>
  <pageMargins left="0.590551181102362" right="0.47244094488189" top="0.511811023622047" bottom="0.62" header="0.31496062992126" footer="0.393700787401575"/>
  <pageSetup fitToHeight="0" horizontalDpi="600" verticalDpi="600" orientation="landscape" paperSize="9" scale="85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4"/>
  <sheetViews>
    <sheetView view="pageBreakPreview" zoomScale="85" zoomScaleNormal="70" zoomScaleSheetLayoutView="85" zoomScalePageLayoutView="0" workbookViewId="0" topLeftCell="A1">
      <selection activeCell="F10" sqref="F10"/>
    </sheetView>
  </sheetViews>
  <sheetFormatPr defaultColWidth="9.140625" defaultRowHeight="12.75"/>
  <cols>
    <col min="1" max="1" width="5.57421875" style="461" customWidth="1"/>
    <col min="2" max="2" width="40.140625" style="422" customWidth="1"/>
    <col min="3" max="3" width="15.00390625" style="422" customWidth="1"/>
    <col min="4" max="5" width="14.421875" style="423" customWidth="1"/>
    <col min="6" max="10" width="12.421875" style="421" customWidth="1"/>
    <col min="11" max="11" width="20.7109375" style="421" customWidth="1"/>
    <col min="12" max="16384" width="9.140625" style="421" customWidth="1"/>
  </cols>
  <sheetData>
    <row r="1" spans="1:11" ht="36.75" customHeight="1">
      <c r="A1" s="421"/>
      <c r="B1" s="856" t="s">
        <v>483</v>
      </c>
      <c r="C1" s="423"/>
      <c r="I1" s="424" t="s">
        <v>342</v>
      </c>
      <c r="J1" s="1210" t="s">
        <v>331</v>
      </c>
      <c r="K1" s="1210"/>
    </row>
    <row r="2" spans="1:11" ht="29.25" customHeight="1">
      <c r="A2" s="421"/>
      <c r="B2" s="1212" t="s">
        <v>482</v>
      </c>
      <c r="C2" s="1212"/>
      <c r="D2" s="1212"/>
      <c r="E2" s="1212"/>
      <c r="F2" s="1212"/>
      <c r="G2" s="1212"/>
      <c r="H2" s="1212"/>
      <c r="I2" s="1212"/>
      <c r="J2" s="1212"/>
      <c r="K2" s="1212"/>
    </row>
    <row r="3" spans="1:11" ht="36" customHeight="1">
      <c r="A3" s="1203" t="s">
        <v>484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</row>
    <row r="4" spans="1:11" ht="25.5" customHeight="1">
      <c r="A4" s="454"/>
      <c r="B4" s="455"/>
      <c r="C4" s="455"/>
      <c r="D4" s="430"/>
      <c r="E4" s="430"/>
      <c r="F4" s="431"/>
      <c r="G4" s="431"/>
      <c r="H4" s="431"/>
      <c r="I4" s="431"/>
      <c r="J4" s="431"/>
      <c r="K4" s="431"/>
    </row>
    <row r="5" spans="1:11" s="570" customFormat="1" ht="48.75" customHeight="1">
      <c r="A5" s="432" t="s">
        <v>0</v>
      </c>
      <c r="B5" s="432" t="s">
        <v>287</v>
      </c>
      <c r="C5" s="432" t="s">
        <v>184</v>
      </c>
      <c r="D5" s="433" t="s">
        <v>332</v>
      </c>
      <c r="E5" s="433" t="s">
        <v>144</v>
      </c>
      <c r="F5" s="433" t="s">
        <v>333</v>
      </c>
      <c r="G5" s="433" t="s">
        <v>334</v>
      </c>
      <c r="H5" s="433" t="s">
        <v>335</v>
      </c>
      <c r="I5" s="433" t="s">
        <v>336</v>
      </c>
      <c r="J5" s="433" t="s">
        <v>337</v>
      </c>
      <c r="K5" s="433" t="s">
        <v>338</v>
      </c>
    </row>
    <row r="6" spans="1:11" s="574" customFormat="1" ht="36.75" customHeight="1">
      <c r="A6" s="435" t="s">
        <v>101</v>
      </c>
      <c r="B6" s="436" t="s">
        <v>485</v>
      </c>
      <c r="C6" s="433"/>
      <c r="D6" s="372"/>
      <c r="E6" s="372"/>
      <c r="F6" s="571"/>
      <c r="G6" s="571"/>
      <c r="H6" s="571"/>
      <c r="I6" s="572"/>
      <c r="J6" s="572"/>
      <c r="K6" s="573"/>
    </row>
    <row r="7" spans="1:23" s="441" customFormat="1" ht="29.25" customHeight="1">
      <c r="A7" s="435">
        <v>1</v>
      </c>
      <c r="B7" s="442" t="s">
        <v>486</v>
      </c>
      <c r="C7" s="433"/>
      <c r="D7" s="372"/>
      <c r="E7" s="372"/>
      <c r="F7" s="575"/>
      <c r="G7" s="571"/>
      <c r="H7" s="571"/>
      <c r="I7" s="572"/>
      <c r="J7" s="572"/>
      <c r="K7" s="573"/>
      <c r="L7" s="539"/>
      <c r="N7" s="538"/>
      <c r="O7" s="539"/>
      <c r="Q7" s="538"/>
      <c r="R7" s="539"/>
      <c r="T7" s="538"/>
      <c r="U7" s="539"/>
      <c r="W7" s="538"/>
    </row>
    <row r="8" spans="1:23" s="580" customFormat="1" ht="36" customHeight="1">
      <c r="A8" s="576"/>
      <c r="B8" s="577" t="s">
        <v>487</v>
      </c>
      <c r="C8" s="578" t="s">
        <v>488</v>
      </c>
      <c r="D8" s="974">
        <v>39310</v>
      </c>
      <c r="E8" s="975">
        <v>39310</v>
      </c>
      <c r="F8" s="974">
        <v>40200</v>
      </c>
      <c r="G8" s="974">
        <v>40500</v>
      </c>
      <c r="H8" s="974">
        <v>41000</v>
      </c>
      <c r="I8" s="579">
        <v>41400</v>
      </c>
      <c r="J8" s="579">
        <v>41800</v>
      </c>
      <c r="K8" s="579">
        <v>41800</v>
      </c>
      <c r="L8" s="1211"/>
      <c r="N8" s="581"/>
      <c r="O8" s="582"/>
      <c r="Q8" s="581"/>
      <c r="R8" s="582"/>
      <c r="T8" s="581"/>
      <c r="U8" s="582"/>
      <c r="W8" s="581"/>
    </row>
    <row r="9" spans="1:12" s="580" customFormat="1" ht="25.5" customHeight="1">
      <c r="A9" s="583">
        <v>2</v>
      </c>
      <c r="B9" s="584" t="s">
        <v>489</v>
      </c>
      <c r="C9" s="578"/>
      <c r="D9" s="974"/>
      <c r="E9" s="976"/>
      <c r="F9" s="977"/>
      <c r="G9" s="977"/>
      <c r="H9" s="977"/>
      <c r="I9" s="585"/>
      <c r="J9" s="585"/>
      <c r="K9" s="585"/>
      <c r="L9" s="1211"/>
    </row>
    <row r="10" spans="1:12" s="587" customFormat="1" ht="27" customHeight="1">
      <c r="A10" s="576"/>
      <c r="B10" s="586" t="s">
        <v>490</v>
      </c>
      <c r="C10" s="578" t="s">
        <v>488</v>
      </c>
      <c r="D10" s="974">
        <v>63900</v>
      </c>
      <c r="E10" s="975">
        <v>63900</v>
      </c>
      <c r="F10" s="974">
        <v>65500</v>
      </c>
      <c r="G10" s="974">
        <v>66000</v>
      </c>
      <c r="H10" s="974">
        <v>67500</v>
      </c>
      <c r="I10" s="579">
        <v>68000</v>
      </c>
      <c r="J10" s="579">
        <v>68300</v>
      </c>
      <c r="K10" s="579">
        <v>68300</v>
      </c>
      <c r="L10" s="1211"/>
    </row>
    <row r="11" spans="1:23" s="580" customFormat="1" ht="29.25" customHeight="1">
      <c r="A11" s="583">
        <v>3</v>
      </c>
      <c r="B11" s="588" t="s">
        <v>491</v>
      </c>
      <c r="C11" s="578"/>
      <c r="D11" s="974"/>
      <c r="E11" s="976"/>
      <c r="F11" s="977"/>
      <c r="G11" s="978"/>
      <c r="H11" s="979"/>
      <c r="I11" s="585"/>
      <c r="J11" s="589"/>
      <c r="K11" s="589"/>
      <c r="L11" s="1211"/>
      <c r="N11" s="581"/>
      <c r="O11" s="582"/>
      <c r="Q11" s="581"/>
      <c r="R11" s="582"/>
      <c r="T11" s="581"/>
      <c r="U11" s="582"/>
      <c r="W11" s="581"/>
    </row>
    <row r="12" spans="1:12" s="587" customFormat="1" ht="30.75" customHeight="1">
      <c r="A12" s="576"/>
      <c r="B12" s="586" t="s">
        <v>492</v>
      </c>
      <c r="C12" s="578" t="s">
        <v>488</v>
      </c>
      <c r="D12" s="974">
        <v>40450</v>
      </c>
      <c r="E12" s="975">
        <v>40450</v>
      </c>
      <c r="F12" s="974">
        <v>41200</v>
      </c>
      <c r="G12" s="974">
        <v>42000</v>
      </c>
      <c r="H12" s="974">
        <v>42800</v>
      </c>
      <c r="I12" s="579">
        <v>43500</v>
      </c>
      <c r="J12" s="579">
        <v>44300</v>
      </c>
      <c r="K12" s="579">
        <v>44300</v>
      </c>
      <c r="L12" s="1211"/>
    </row>
    <row r="13" spans="1:12" s="580" customFormat="1" ht="29.25" customHeight="1">
      <c r="A13" s="583">
        <v>4</v>
      </c>
      <c r="B13" s="584" t="s">
        <v>493</v>
      </c>
      <c r="C13" s="578"/>
      <c r="D13" s="974"/>
      <c r="E13" s="976"/>
      <c r="F13" s="977"/>
      <c r="G13" s="977"/>
      <c r="H13" s="977"/>
      <c r="I13" s="585"/>
      <c r="J13" s="585"/>
      <c r="K13" s="585"/>
      <c r="L13" s="1211"/>
    </row>
    <row r="14" spans="1:12" s="587" customFormat="1" ht="30" customHeight="1">
      <c r="A14" s="576"/>
      <c r="B14" s="586" t="s">
        <v>494</v>
      </c>
      <c r="C14" s="578" t="s">
        <v>488</v>
      </c>
      <c r="D14" s="974">
        <v>16890</v>
      </c>
      <c r="E14" s="975">
        <v>16890</v>
      </c>
      <c r="F14" s="974">
        <v>17700</v>
      </c>
      <c r="G14" s="974">
        <v>18500</v>
      </c>
      <c r="H14" s="974">
        <v>19400</v>
      </c>
      <c r="I14" s="579">
        <v>20500</v>
      </c>
      <c r="J14" s="579">
        <v>21500</v>
      </c>
      <c r="K14" s="579">
        <v>21500</v>
      </c>
      <c r="L14" s="1211"/>
    </row>
    <row r="15" spans="1:12" s="592" customFormat="1" ht="33" customHeight="1">
      <c r="A15" s="583" t="s">
        <v>102</v>
      </c>
      <c r="B15" s="584" t="s">
        <v>495</v>
      </c>
      <c r="C15" s="590"/>
      <c r="D15" s="980"/>
      <c r="E15" s="980"/>
      <c r="F15" s="980"/>
      <c r="G15" s="980"/>
      <c r="H15" s="980"/>
      <c r="I15" s="591"/>
      <c r="J15" s="591"/>
      <c r="K15" s="591"/>
      <c r="L15" s="1211"/>
    </row>
    <row r="16" spans="1:12" s="580" customFormat="1" ht="35.25" customHeight="1">
      <c r="A16" s="583">
        <v>1</v>
      </c>
      <c r="B16" s="584" t="s">
        <v>496</v>
      </c>
      <c r="C16" s="590"/>
      <c r="D16" s="372"/>
      <c r="E16" s="372"/>
      <c r="F16" s="571"/>
      <c r="G16" s="571"/>
      <c r="H16" s="571"/>
      <c r="I16" s="593"/>
      <c r="J16" s="593"/>
      <c r="K16" s="594"/>
      <c r="L16" s="595"/>
    </row>
    <row r="17" spans="1:12" s="580" customFormat="1" ht="45" customHeight="1">
      <c r="A17" s="583"/>
      <c r="B17" s="596" t="s">
        <v>497</v>
      </c>
      <c r="C17" s="578" t="s">
        <v>498</v>
      </c>
      <c r="D17" s="974">
        <v>4256</v>
      </c>
      <c r="E17" s="974">
        <v>3668</v>
      </c>
      <c r="F17" s="572">
        <v>1170</v>
      </c>
      <c r="G17" s="572">
        <v>1250</v>
      </c>
      <c r="H17" s="572">
        <v>1450</v>
      </c>
      <c r="I17" s="597">
        <v>1540</v>
      </c>
      <c r="J17" s="597">
        <v>1680</v>
      </c>
      <c r="K17" s="598">
        <f>SUM(F17:J17)</f>
        <v>7090</v>
      </c>
      <c r="L17" s="595"/>
    </row>
    <row r="18" spans="1:12" s="580" customFormat="1" ht="46.5" customHeight="1">
      <c r="A18" s="583"/>
      <c r="B18" s="599" t="s">
        <v>499</v>
      </c>
      <c r="C18" s="600" t="s">
        <v>500</v>
      </c>
      <c r="D18" s="911"/>
      <c r="E18" s="911"/>
      <c r="F18" s="981">
        <f>(F17-600)/600*100</f>
        <v>95</v>
      </c>
      <c r="G18" s="981">
        <f>(G17-F17)/F17*100</f>
        <v>6.837606837606838</v>
      </c>
      <c r="H18" s="981">
        <f>(H17-G17)/G17*100</f>
        <v>16</v>
      </c>
      <c r="I18" s="601">
        <f>(I17-H17)/H17*100</f>
        <v>6.206896551724138</v>
      </c>
      <c r="J18" s="601">
        <f>(J17-I17)/I17*100</f>
        <v>9.090909090909092</v>
      </c>
      <c r="K18" s="602"/>
      <c r="L18" s="595"/>
    </row>
    <row r="19" spans="1:12" s="580" customFormat="1" ht="41.25" customHeight="1">
      <c r="A19" s="583">
        <v>2</v>
      </c>
      <c r="B19" s="584" t="s">
        <v>501</v>
      </c>
      <c r="C19" s="590"/>
      <c r="D19" s="372"/>
      <c r="E19" s="372"/>
      <c r="F19" s="982"/>
      <c r="G19" s="982"/>
      <c r="H19" s="982"/>
      <c r="I19" s="603"/>
      <c r="J19" s="603"/>
      <c r="K19" s="604"/>
      <c r="L19" s="595"/>
    </row>
    <row r="20" spans="1:12" s="587" customFormat="1" ht="44.25" customHeight="1">
      <c r="A20" s="576"/>
      <c r="B20" s="586" t="s">
        <v>502</v>
      </c>
      <c r="C20" s="578" t="s">
        <v>498</v>
      </c>
      <c r="D20" s="408">
        <v>5183</v>
      </c>
      <c r="E20" s="408">
        <v>5183</v>
      </c>
      <c r="F20" s="939">
        <v>980</v>
      </c>
      <c r="G20" s="939">
        <v>860</v>
      </c>
      <c r="H20" s="939">
        <v>900</v>
      </c>
      <c r="I20" s="605">
        <v>780</v>
      </c>
      <c r="J20" s="605">
        <v>790</v>
      </c>
      <c r="K20" s="579">
        <f>SUM(F20:J20)</f>
        <v>4310</v>
      </c>
      <c r="L20" s="606"/>
    </row>
    <row r="21" spans="1:12" s="610" customFormat="1" ht="48" customHeight="1">
      <c r="A21" s="607"/>
      <c r="B21" s="599" t="s">
        <v>73</v>
      </c>
      <c r="C21" s="600" t="s">
        <v>308</v>
      </c>
      <c r="D21" s="911"/>
      <c r="E21" s="911"/>
      <c r="F21" s="983">
        <f>(F20-640)/640*100</f>
        <v>53.125</v>
      </c>
      <c r="G21" s="983">
        <f>(G20-F20)/F20*100</f>
        <v>-12.244897959183673</v>
      </c>
      <c r="H21" s="983">
        <f>(H20-G20)/G20*100</f>
        <v>4.651162790697675</v>
      </c>
      <c r="I21" s="608">
        <f>(I20-H20)/H20*100</f>
        <v>-13.333333333333334</v>
      </c>
      <c r="J21" s="608">
        <f>(J20-I20)/I20*100</f>
        <v>1.282051282051282</v>
      </c>
      <c r="K21" s="579"/>
      <c r="L21" s="609"/>
    </row>
    <row r="22" spans="1:11" s="587" customFormat="1" ht="36.75" customHeight="1">
      <c r="A22" s="576"/>
      <c r="B22" s="586" t="s">
        <v>503</v>
      </c>
      <c r="C22" s="600" t="str">
        <f>C17</f>
        <v> Người </v>
      </c>
      <c r="D22" s="984">
        <f>642+1717</f>
        <v>2359</v>
      </c>
      <c r="E22" s="984">
        <f>2007+807</f>
        <v>2814</v>
      </c>
      <c r="F22" s="985">
        <f>220+300</f>
        <v>520</v>
      </c>
      <c r="G22" s="985">
        <f>250+300</f>
        <v>550</v>
      </c>
      <c r="H22" s="984">
        <f>250+300</f>
        <v>550</v>
      </c>
      <c r="I22" s="611">
        <f>H22</f>
        <v>550</v>
      </c>
      <c r="J22" s="611">
        <v>600</v>
      </c>
      <c r="K22" s="579">
        <f>F22+G22+H22+I22+J22</f>
        <v>2770</v>
      </c>
    </row>
    <row r="23" spans="1:11" s="610" customFormat="1" ht="45" customHeight="1">
      <c r="A23" s="607"/>
      <c r="B23" s="599" t="s">
        <v>504</v>
      </c>
      <c r="C23" s="600" t="s">
        <v>308</v>
      </c>
      <c r="D23" s="932"/>
      <c r="E23" s="932"/>
      <c r="F23" s="986">
        <f>(F22-500)/500*100</f>
        <v>4</v>
      </c>
      <c r="G23" s="986">
        <f>(G22-F22)*100/F22</f>
        <v>5.769230769230769</v>
      </c>
      <c r="H23" s="986">
        <f>(H22-G22)*100/G22</f>
        <v>0</v>
      </c>
      <c r="I23" s="612">
        <f>(I22-H22)*100/H22</f>
        <v>0</v>
      </c>
      <c r="J23" s="612">
        <f>(J22-I22)*100/I22</f>
        <v>9.090909090909092</v>
      </c>
      <c r="K23" s="579"/>
    </row>
    <row r="24" spans="1:11" s="587" customFormat="1" ht="47.25" customHeight="1">
      <c r="A24" s="576"/>
      <c r="B24" s="586" t="s">
        <v>505</v>
      </c>
      <c r="C24" s="600" t="s">
        <v>308</v>
      </c>
      <c r="D24" s="383">
        <v>43.77</v>
      </c>
      <c r="E24" s="383">
        <v>42.7</v>
      </c>
      <c r="F24" s="916">
        <v>46.09</v>
      </c>
      <c r="G24" s="916">
        <v>49.7</v>
      </c>
      <c r="H24" s="916">
        <v>52.1</v>
      </c>
      <c r="I24" s="613">
        <v>55.54</v>
      </c>
      <c r="J24" s="613">
        <v>58.6</v>
      </c>
      <c r="K24" s="614">
        <v>58.6</v>
      </c>
    </row>
    <row r="25" spans="1:11" s="580" customFormat="1" ht="36" customHeight="1">
      <c r="A25" s="583" t="s">
        <v>115</v>
      </c>
      <c r="B25" s="584" t="s">
        <v>506</v>
      </c>
      <c r="C25" s="590"/>
      <c r="D25" s="615"/>
      <c r="E25" s="615"/>
      <c r="F25" s="616"/>
      <c r="G25" s="616"/>
      <c r="H25" s="616"/>
      <c r="I25" s="616"/>
      <c r="J25" s="616"/>
      <c r="K25" s="594"/>
    </row>
    <row r="26" spans="1:12" s="587" customFormat="1" ht="36" customHeight="1">
      <c r="A26" s="600">
        <v>1</v>
      </c>
      <c r="B26" s="617" t="s">
        <v>507</v>
      </c>
      <c r="C26" s="578" t="s">
        <v>5</v>
      </c>
      <c r="D26" s="578"/>
      <c r="E26" s="578"/>
      <c r="F26" s="618"/>
      <c r="G26" s="618"/>
      <c r="H26" s="618"/>
      <c r="I26" s="618"/>
      <c r="J26" s="618"/>
      <c r="K26" s="619"/>
      <c r="L26" s="620"/>
    </row>
    <row r="27" spans="1:12" s="587" customFormat="1" ht="36" customHeight="1">
      <c r="A27" s="600">
        <v>2</v>
      </c>
      <c r="B27" s="617" t="s">
        <v>508</v>
      </c>
      <c r="C27" s="578" t="s">
        <v>5</v>
      </c>
      <c r="D27" s="578"/>
      <c r="E27" s="578"/>
      <c r="F27" s="618"/>
      <c r="G27" s="618"/>
      <c r="H27" s="618"/>
      <c r="I27" s="618"/>
      <c r="J27" s="618"/>
      <c r="K27" s="618"/>
      <c r="L27" s="620"/>
    </row>
    <row r="28" spans="1:12" s="587" customFormat="1" ht="36" customHeight="1">
      <c r="A28" s="600">
        <v>3</v>
      </c>
      <c r="B28" s="617" t="s">
        <v>509</v>
      </c>
      <c r="C28" s="578" t="s">
        <v>5</v>
      </c>
      <c r="D28" s="578"/>
      <c r="E28" s="578"/>
      <c r="F28" s="618"/>
      <c r="G28" s="618"/>
      <c r="H28" s="618"/>
      <c r="I28" s="618"/>
      <c r="J28" s="618"/>
      <c r="K28" s="619"/>
      <c r="L28" s="620"/>
    </row>
    <row r="29" spans="1:11" ht="16.5">
      <c r="A29" s="454"/>
      <c r="B29" s="455"/>
      <c r="C29" s="455"/>
      <c r="D29" s="430"/>
      <c r="E29" s="430"/>
      <c r="F29" s="431"/>
      <c r="G29" s="431"/>
      <c r="H29" s="431"/>
      <c r="I29" s="431"/>
      <c r="J29" s="431"/>
      <c r="K29" s="431"/>
    </row>
    <row r="30" spans="1:11" ht="16.5">
      <c r="A30" s="454"/>
      <c r="B30" s="455"/>
      <c r="C30" s="455"/>
      <c r="D30" s="430"/>
      <c r="E30" s="430"/>
      <c r="F30" s="431"/>
      <c r="G30" s="431"/>
      <c r="H30" s="431"/>
      <c r="I30" s="431"/>
      <c r="J30" s="431"/>
      <c r="K30" s="431"/>
    </row>
    <row r="31" spans="1:11" ht="16.5">
      <c r="A31" s="454"/>
      <c r="B31" s="455"/>
      <c r="C31" s="455"/>
      <c r="D31" s="430"/>
      <c r="E31" s="430"/>
      <c r="F31" s="431"/>
      <c r="G31" s="431"/>
      <c r="H31" s="431"/>
      <c r="I31" s="431"/>
      <c r="J31" s="431"/>
      <c r="K31" s="431"/>
    </row>
    <row r="32" spans="1:11" ht="16.5">
      <c r="A32" s="454"/>
      <c r="B32" s="455"/>
      <c r="C32" s="455"/>
      <c r="D32" s="430"/>
      <c r="E32" s="430"/>
      <c r="F32" s="431"/>
      <c r="G32" s="431"/>
      <c r="H32" s="431"/>
      <c r="I32" s="431"/>
      <c r="J32" s="431"/>
      <c r="K32" s="431"/>
    </row>
    <row r="33" spans="1:11" ht="16.5">
      <c r="A33" s="454"/>
      <c r="B33" s="455"/>
      <c r="C33" s="455"/>
      <c r="D33" s="430"/>
      <c r="E33" s="430"/>
      <c r="F33" s="431"/>
      <c r="G33" s="431"/>
      <c r="H33" s="431"/>
      <c r="I33" s="431"/>
      <c r="J33" s="431"/>
      <c r="K33" s="431"/>
    </row>
    <row r="34" spans="1:11" ht="16.5">
      <c r="A34" s="454"/>
      <c r="B34" s="455"/>
      <c r="C34" s="455"/>
      <c r="D34" s="430"/>
      <c r="E34" s="430"/>
      <c r="F34" s="431"/>
      <c r="G34" s="431"/>
      <c r="H34" s="431"/>
      <c r="I34" s="431"/>
      <c r="J34" s="431"/>
      <c r="K34" s="431"/>
    </row>
    <row r="35" spans="1:11" ht="16.5">
      <c r="A35" s="454"/>
      <c r="B35" s="455"/>
      <c r="C35" s="455"/>
      <c r="D35" s="430"/>
      <c r="E35" s="430"/>
      <c r="F35" s="431"/>
      <c r="G35" s="431"/>
      <c r="H35" s="431"/>
      <c r="I35" s="431"/>
      <c r="J35" s="431"/>
      <c r="K35" s="431"/>
    </row>
    <row r="36" spans="1:11" ht="16.5">
      <c r="A36" s="454"/>
      <c r="B36" s="455"/>
      <c r="C36" s="455"/>
      <c r="D36" s="430"/>
      <c r="E36" s="430"/>
      <c r="F36" s="431"/>
      <c r="G36" s="431"/>
      <c r="H36" s="431"/>
      <c r="I36" s="431"/>
      <c r="J36" s="431"/>
      <c r="K36" s="431"/>
    </row>
    <row r="37" spans="1:11" ht="16.5">
      <c r="A37" s="454"/>
      <c r="B37" s="455"/>
      <c r="C37" s="455"/>
      <c r="D37" s="430"/>
      <c r="E37" s="430"/>
      <c r="F37" s="431"/>
      <c r="G37" s="431"/>
      <c r="H37" s="431"/>
      <c r="I37" s="431"/>
      <c r="J37" s="431"/>
      <c r="K37" s="431"/>
    </row>
    <row r="38" spans="1:11" ht="16.5">
      <c r="A38" s="454"/>
      <c r="B38" s="455"/>
      <c r="C38" s="455"/>
      <c r="D38" s="430"/>
      <c r="E38" s="430"/>
      <c r="F38" s="431"/>
      <c r="G38" s="431"/>
      <c r="H38" s="431"/>
      <c r="I38" s="431"/>
      <c r="J38" s="431"/>
      <c r="K38" s="431"/>
    </row>
    <row r="39" spans="1:11" ht="16.5">
      <c r="A39" s="454"/>
      <c r="B39" s="455"/>
      <c r="C39" s="455"/>
      <c r="D39" s="430"/>
      <c r="E39" s="430"/>
      <c r="F39" s="431"/>
      <c r="G39" s="431"/>
      <c r="H39" s="431"/>
      <c r="I39" s="431"/>
      <c r="J39" s="431"/>
      <c r="K39" s="431"/>
    </row>
    <row r="40" spans="1:11" ht="16.5">
      <c r="A40" s="454"/>
      <c r="B40" s="455"/>
      <c r="C40" s="455"/>
      <c r="D40" s="430"/>
      <c r="E40" s="430"/>
      <c r="F40" s="431"/>
      <c r="G40" s="431"/>
      <c r="H40" s="431"/>
      <c r="I40" s="431"/>
      <c r="J40" s="431"/>
      <c r="K40" s="431"/>
    </row>
    <row r="41" spans="1:11" ht="16.5">
      <c r="A41" s="454"/>
      <c r="B41" s="455"/>
      <c r="C41" s="455"/>
      <c r="D41" s="430"/>
      <c r="E41" s="430"/>
      <c r="F41" s="431"/>
      <c r="G41" s="431"/>
      <c r="H41" s="431"/>
      <c r="I41" s="431"/>
      <c r="J41" s="431"/>
      <c r="K41" s="431"/>
    </row>
    <row r="42" spans="1:11" ht="16.5">
      <c r="A42" s="454"/>
      <c r="B42" s="455"/>
      <c r="C42" s="455"/>
      <c r="D42" s="430"/>
      <c r="E42" s="430"/>
      <c r="F42" s="431"/>
      <c r="G42" s="431"/>
      <c r="H42" s="431"/>
      <c r="I42" s="431"/>
      <c r="J42" s="431"/>
      <c r="K42" s="431"/>
    </row>
    <row r="43" spans="1:11" ht="16.5">
      <c r="A43" s="454"/>
      <c r="B43" s="455"/>
      <c r="C43" s="455"/>
      <c r="D43" s="430"/>
      <c r="E43" s="430"/>
      <c r="F43" s="431"/>
      <c r="G43" s="431"/>
      <c r="H43" s="431"/>
      <c r="I43" s="431"/>
      <c r="J43" s="431"/>
      <c r="K43" s="431"/>
    </row>
    <row r="44" spans="1:11" ht="16.5">
      <c r="A44" s="454"/>
      <c r="B44" s="455"/>
      <c r="C44" s="455"/>
      <c r="D44" s="430"/>
      <c r="E44" s="430"/>
      <c r="F44" s="431"/>
      <c r="G44" s="431"/>
      <c r="H44" s="431"/>
      <c r="I44" s="431"/>
      <c r="J44" s="431"/>
      <c r="K44" s="431"/>
    </row>
    <row r="45" spans="1:11" ht="16.5">
      <c r="A45" s="454"/>
      <c r="B45" s="455"/>
      <c r="C45" s="455"/>
      <c r="D45" s="430"/>
      <c r="E45" s="430"/>
      <c r="F45" s="431"/>
      <c r="G45" s="431"/>
      <c r="H45" s="431"/>
      <c r="I45" s="431"/>
      <c r="J45" s="431"/>
      <c r="K45" s="431"/>
    </row>
    <row r="46" spans="1:11" ht="16.5">
      <c r="A46" s="454"/>
      <c r="B46" s="455"/>
      <c r="C46" s="455"/>
      <c r="D46" s="430"/>
      <c r="E46" s="430"/>
      <c r="F46" s="431"/>
      <c r="G46" s="431"/>
      <c r="H46" s="431"/>
      <c r="I46" s="431"/>
      <c r="J46" s="431"/>
      <c r="K46" s="431"/>
    </row>
    <row r="47" spans="1:11" ht="16.5">
      <c r="A47" s="454"/>
      <c r="B47" s="455"/>
      <c r="C47" s="455"/>
      <c r="D47" s="430"/>
      <c r="E47" s="430"/>
      <c r="F47" s="431"/>
      <c r="G47" s="431"/>
      <c r="H47" s="431"/>
      <c r="I47" s="431"/>
      <c r="J47" s="431"/>
      <c r="K47" s="431"/>
    </row>
    <row r="48" spans="1:11" ht="16.5">
      <c r="A48" s="454"/>
      <c r="B48" s="455"/>
      <c r="C48" s="455"/>
      <c r="D48" s="430"/>
      <c r="E48" s="430"/>
      <c r="F48" s="431"/>
      <c r="G48" s="431"/>
      <c r="H48" s="431"/>
      <c r="I48" s="431"/>
      <c r="J48" s="431"/>
      <c r="K48" s="431"/>
    </row>
    <row r="49" spans="1:11" ht="16.5">
      <c r="A49" s="454"/>
      <c r="B49" s="455"/>
      <c r="C49" s="455"/>
      <c r="D49" s="430"/>
      <c r="E49" s="430"/>
      <c r="F49" s="431"/>
      <c r="G49" s="431"/>
      <c r="H49" s="431"/>
      <c r="I49" s="431"/>
      <c r="J49" s="431"/>
      <c r="K49" s="431"/>
    </row>
    <row r="50" spans="1:11" ht="16.5">
      <c r="A50" s="454"/>
      <c r="B50" s="455"/>
      <c r="C50" s="455"/>
      <c r="D50" s="430"/>
      <c r="E50" s="430"/>
      <c r="F50" s="431"/>
      <c r="G50" s="431"/>
      <c r="H50" s="431"/>
      <c r="I50" s="431"/>
      <c r="J50" s="431"/>
      <c r="K50" s="431"/>
    </row>
    <row r="51" spans="1:11" ht="16.5">
      <c r="A51" s="454"/>
      <c r="B51" s="455"/>
      <c r="C51" s="455"/>
      <c r="D51" s="430"/>
      <c r="E51" s="430"/>
      <c r="F51" s="431"/>
      <c r="G51" s="431"/>
      <c r="H51" s="431"/>
      <c r="I51" s="431"/>
      <c r="J51" s="431"/>
      <c r="K51" s="431"/>
    </row>
    <row r="52" spans="1:11" ht="16.5">
      <c r="A52" s="454"/>
      <c r="B52" s="455"/>
      <c r="C52" s="455"/>
      <c r="D52" s="430"/>
      <c r="E52" s="430"/>
      <c r="F52" s="431"/>
      <c r="G52" s="431"/>
      <c r="H52" s="431"/>
      <c r="I52" s="431"/>
      <c r="J52" s="431"/>
      <c r="K52" s="431"/>
    </row>
    <row r="53" spans="1:11" ht="16.5">
      <c r="A53" s="454"/>
      <c r="B53" s="455"/>
      <c r="C53" s="455"/>
      <c r="D53" s="430"/>
      <c r="E53" s="430"/>
      <c r="F53" s="431"/>
      <c r="G53" s="431"/>
      <c r="H53" s="431"/>
      <c r="I53" s="431"/>
      <c r="J53" s="431"/>
      <c r="K53" s="431"/>
    </row>
    <row r="54" spans="1:11" ht="16.5">
      <c r="A54" s="454"/>
      <c r="B54" s="455"/>
      <c r="C54" s="455"/>
      <c r="D54" s="430"/>
      <c r="E54" s="430"/>
      <c r="F54" s="431"/>
      <c r="G54" s="431"/>
      <c r="H54" s="431"/>
      <c r="I54" s="431"/>
      <c r="J54" s="431"/>
      <c r="K54" s="431"/>
    </row>
    <row r="55" spans="1:11" ht="16.5">
      <c r="A55" s="454"/>
      <c r="B55" s="455"/>
      <c r="C55" s="455"/>
      <c r="D55" s="430"/>
      <c r="E55" s="430"/>
      <c r="F55" s="431"/>
      <c r="G55" s="431"/>
      <c r="H55" s="431"/>
      <c r="I55" s="431"/>
      <c r="J55" s="431"/>
      <c r="K55" s="431"/>
    </row>
    <row r="56" spans="1:11" ht="16.5">
      <c r="A56" s="454"/>
      <c r="B56" s="455"/>
      <c r="C56" s="455"/>
      <c r="D56" s="430"/>
      <c r="E56" s="430"/>
      <c r="F56" s="431"/>
      <c r="G56" s="431"/>
      <c r="H56" s="431"/>
      <c r="I56" s="431"/>
      <c r="J56" s="431"/>
      <c r="K56" s="431"/>
    </row>
    <row r="57" spans="1:11" ht="16.5">
      <c r="A57" s="454"/>
      <c r="B57" s="455"/>
      <c r="C57" s="455"/>
      <c r="D57" s="430"/>
      <c r="E57" s="430"/>
      <c r="F57" s="431"/>
      <c r="G57" s="431"/>
      <c r="H57" s="431"/>
      <c r="I57" s="431"/>
      <c r="J57" s="431"/>
      <c r="K57" s="431"/>
    </row>
    <row r="58" spans="1:11" ht="16.5">
      <c r="A58" s="454"/>
      <c r="B58" s="455"/>
      <c r="C58" s="455"/>
      <c r="D58" s="430"/>
      <c r="E58" s="430"/>
      <c r="F58" s="431"/>
      <c r="G58" s="431"/>
      <c r="H58" s="431"/>
      <c r="I58" s="431"/>
      <c r="J58" s="431"/>
      <c r="K58" s="431"/>
    </row>
    <row r="59" spans="1:11" ht="16.5">
      <c r="A59" s="454"/>
      <c r="B59" s="455"/>
      <c r="C59" s="455"/>
      <c r="D59" s="430"/>
      <c r="E59" s="430"/>
      <c r="F59" s="431"/>
      <c r="G59" s="431"/>
      <c r="H59" s="431"/>
      <c r="I59" s="431"/>
      <c r="J59" s="431"/>
      <c r="K59" s="431"/>
    </row>
    <row r="60" spans="1:11" ht="16.5">
      <c r="A60" s="454"/>
      <c r="B60" s="455"/>
      <c r="C60" s="455"/>
      <c r="D60" s="430"/>
      <c r="E60" s="430"/>
      <c r="F60" s="431"/>
      <c r="G60" s="431"/>
      <c r="H60" s="431"/>
      <c r="I60" s="431"/>
      <c r="J60" s="431"/>
      <c r="K60" s="431"/>
    </row>
    <row r="61" spans="1:11" ht="16.5">
      <c r="A61" s="454"/>
      <c r="B61" s="455"/>
      <c r="C61" s="455"/>
      <c r="D61" s="430"/>
      <c r="E61" s="430"/>
      <c r="F61" s="431"/>
      <c r="G61" s="431"/>
      <c r="H61" s="431"/>
      <c r="I61" s="431"/>
      <c r="J61" s="431"/>
      <c r="K61" s="431"/>
    </row>
    <row r="62" spans="1:11" ht="16.5">
      <c r="A62" s="454"/>
      <c r="B62" s="455"/>
      <c r="C62" s="455"/>
      <c r="D62" s="430"/>
      <c r="E62" s="430"/>
      <c r="F62" s="431"/>
      <c r="G62" s="431"/>
      <c r="H62" s="431"/>
      <c r="I62" s="431"/>
      <c r="J62" s="431"/>
      <c r="K62" s="431"/>
    </row>
    <row r="63" spans="1:11" ht="16.5">
      <c r="A63" s="454"/>
      <c r="B63" s="455"/>
      <c r="C63" s="455"/>
      <c r="D63" s="430"/>
      <c r="E63" s="430"/>
      <c r="F63" s="431"/>
      <c r="G63" s="431"/>
      <c r="H63" s="431"/>
      <c r="I63" s="431"/>
      <c r="J63" s="431"/>
      <c r="K63" s="431"/>
    </row>
    <row r="64" spans="1:11" ht="16.5">
      <c r="A64" s="454"/>
      <c r="B64" s="455"/>
      <c r="C64" s="455"/>
      <c r="D64" s="430"/>
      <c r="E64" s="430"/>
      <c r="F64" s="431"/>
      <c r="G64" s="431"/>
      <c r="H64" s="431"/>
      <c r="I64" s="431"/>
      <c r="J64" s="431"/>
      <c r="K64" s="431"/>
    </row>
    <row r="65" spans="1:11" ht="16.5">
      <c r="A65" s="454"/>
      <c r="B65" s="455"/>
      <c r="C65" s="455"/>
      <c r="D65" s="430"/>
      <c r="E65" s="430"/>
      <c r="F65" s="431"/>
      <c r="G65" s="431"/>
      <c r="H65" s="431"/>
      <c r="I65" s="431"/>
      <c r="J65" s="431"/>
      <c r="K65" s="431"/>
    </row>
    <row r="66" spans="1:11" ht="16.5">
      <c r="A66" s="454"/>
      <c r="B66" s="455"/>
      <c r="C66" s="455"/>
      <c r="D66" s="430"/>
      <c r="E66" s="430"/>
      <c r="F66" s="431"/>
      <c r="G66" s="431"/>
      <c r="H66" s="431"/>
      <c r="I66" s="431"/>
      <c r="J66" s="431"/>
      <c r="K66" s="431"/>
    </row>
    <row r="67" spans="1:11" ht="16.5">
      <c r="A67" s="454"/>
      <c r="B67" s="455"/>
      <c r="C67" s="455"/>
      <c r="D67" s="430"/>
      <c r="E67" s="430"/>
      <c r="F67" s="431"/>
      <c r="G67" s="431"/>
      <c r="H67" s="431"/>
      <c r="I67" s="431"/>
      <c r="J67" s="431"/>
      <c r="K67" s="431"/>
    </row>
    <row r="68" spans="1:11" ht="16.5">
      <c r="A68" s="454"/>
      <c r="B68" s="455"/>
      <c r="C68" s="455"/>
      <c r="D68" s="430"/>
      <c r="E68" s="430"/>
      <c r="F68" s="431"/>
      <c r="G68" s="431"/>
      <c r="H68" s="431"/>
      <c r="I68" s="431"/>
      <c r="J68" s="431"/>
      <c r="K68" s="431"/>
    </row>
    <row r="69" spans="1:11" ht="16.5">
      <c r="A69" s="454"/>
      <c r="B69" s="455"/>
      <c r="C69" s="455"/>
      <c r="D69" s="430"/>
      <c r="E69" s="430"/>
      <c r="F69" s="431"/>
      <c r="G69" s="431"/>
      <c r="H69" s="431"/>
      <c r="I69" s="431"/>
      <c r="J69" s="431"/>
      <c r="K69" s="431"/>
    </row>
    <row r="70" spans="1:11" ht="16.5">
      <c r="A70" s="454"/>
      <c r="B70" s="455"/>
      <c r="C70" s="455"/>
      <c r="D70" s="430"/>
      <c r="E70" s="430"/>
      <c r="F70" s="431"/>
      <c r="G70" s="431"/>
      <c r="H70" s="431"/>
      <c r="I70" s="431"/>
      <c r="J70" s="431"/>
      <c r="K70" s="431"/>
    </row>
    <row r="71" spans="1:11" ht="16.5">
      <c r="A71" s="454"/>
      <c r="B71" s="455"/>
      <c r="C71" s="455"/>
      <c r="D71" s="430"/>
      <c r="E71" s="430"/>
      <c r="F71" s="431"/>
      <c r="G71" s="431"/>
      <c r="H71" s="431"/>
      <c r="I71" s="431"/>
      <c r="J71" s="431"/>
      <c r="K71" s="431"/>
    </row>
    <row r="72" spans="1:11" ht="16.5">
      <c r="A72" s="454"/>
      <c r="B72" s="455"/>
      <c r="C72" s="455"/>
      <c r="D72" s="430"/>
      <c r="E72" s="430"/>
      <c r="F72" s="431"/>
      <c r="G72" s="431"/>
      <c r="H72" s="431"/>
      <c r="I72" s="431"/>
      <c r="J72" s="431"/>
      <c r="K72" s="431"/>
    </row>
    <row r="73" spans="1:11" ht="16.5">
      <c r="A73" s="454"/>
      <c r="B73" s="455"/>
      <c r="C73" s="455"/>
      <c r="D73" s="430"/>
      <c r="E73" s="430"/>
      <c r="F73" s="431"/>
      <c r="G73" s="431"/>
      <c r="H73" s="431"/>
      <c r="I73" s="431"/>
      <c r="J73" s="431"/>
      <c r="K73" s="431"/>
    </row>
    <row r="74" spans="1:11" ht="16.5">
      <c r="A74" s="454"/>
      <c r="B74" s="455"/>
      <c r="C74" s="455"/>
      <c r="D74" s="430"/>
      <c r="E74" s="430"/>
      <c r="F74" s="431"/>
      <c r="G74" s="431"/>
      <c r="H74" s="431"/>
      <c r="I74" s="431"/>
      <c r="J74" s="431"/>
      <c r="K74" s="431"/>
    </row>
    <row r="75" spans="1:11" ht="16.5">
      <c r="A75" s="454"/>
      <c r="B75" s="455"/>
      <c r="C75" s="455"/>
      <c r="D75" s="430"/>
      <c r="E75" s="430"/>
      <c r="F75" s="431"/>
      <c r="G75" s="431"/>
      <c r="H75" s="431"/>
      <c r="I75" s="431"/>
      <c r="J75" s="431"/>
      <c r="K75" s="431"/>
    </row>
    <row r="76" spans="1:11" ht="16.5">
      <c r="A76" s="454"/>
      <c r="B76" s="455"/>
      <c r="C76" s="455"/>
      <c r="D76" s="430"/>
      <c r="E76" s="430"/>
      <c r="F76" s="431"/>
      <c r="G76" s="431"/>
      <c r="H76" s="431"/>
      <c r="I76" s="431"/>
      <c r="J76" s="431"/>
      <c r="K76" s="431"/>
    </row>
    <row r="77" spans="1:11" ht="16.5">
      <c r="A77" s="454"/>
      <c r="B77" s="455"/>
      <c r="C77" s="455"/>
      <c r="D77" s="430"/>
      <c r="E77" s="430"/>
      <c r="F77" s="431"/>
      <c r="G77" s="431"/>
      <c r="H77" s="431"/>
      <c r="I77" s="431"/>
      <c r="J77" s="431"/>
      <c r="K77" s="431"/>
    </row>
    <row r="78" spans="1:11" ht="16.5">
      <c r="A78" s="454"/>
      <c r="B78" s="455"/>
      <c r="C78" s="455"/>
      <c r="D78" s="430"/>
      <c r="E78" s="430"/>
      <c r="F78" s="431"/>
      <c r="G78" s="431"/>
      <c r="H78" s="431"/>
      <c r="I78" s="431"/>
      <c r="J78" s="431"/>
      <c r="K78" s="431"/>
    </row>
    <row r="79" spans="1:11" ht="16.5">
      <c r="A79" s="454"/>
      <c r="B79" s="455"/>
      <c r="C79" s="455"/>
      <c r="D79" s="430"/>
      <c r="E79" s="430"/>
      <c r="F79" s="431"/>
      <c r="G79" s="431"/>
      <c r="H79" s="431"/>
      <c r="I79" s="431"/>
      <c r="J79" s="431"/>
      <c r="K79" s="431"/>
    </row>
    <row r="80" spans="1:11" ht="16.5">
      <c r="A80" s="454"/>
      <c r="B80" s="455"/>
      <c r="C80" s="455"/>
      <c r="D80" s="430"/>
      <c r="E80" s="430"/>
      <c r="F80" s="431"/>
      <c r="G80" s="431"/>
      <c r="H80" s="431"/>
      <c r="I80" s="431"/>
      <c r="J80" s="431"/>
      <c r="K80" s="431"/>
    </row>
    <row r="81" spans="1:11" ht="16.5">
      <c r="A81" s="454"/>
      <c r="B81" s="455"/>
      <c r="C81" s="455"/>
      <c r="D81" s="430"/>
      <c r="E81" s="430"/>
      <c r="F81" s="431"/>
      <c r="G81" s="431"/>
      <c r="H81" s="431"/>
      <c r="I81" s="431"/>
      <c r="J81" s="431"/>
      <c r="K81" s="431"/>
    </row>
    <row r="82" spans="1:11" ht="16.5">
      <c r="A82" s="454"/>
      <c r="B82" s="455"/>
      <c r="C82" s="455"/>
      <c r="D82" s="430"/>
      <c r="E82" s="430"/>
      <c r="F82" s="431"/>
      <c r="G82" s="431"/>
      <c r="H82" s="431"/>
      <c r="I82" s="431"/>
      <c r="J82" s="431"/>
      <c r="K82" s="431"/>
    </row>
    <row r="83" spans="1:11" ht="16.5">
      <c r="A83" s="454"/>
      <c r="B83" s="455"/>
      <c r="C83" s="455"/>
      <c r="D83" s="430"/>
      <c r="E83" s="430"/>
      <c r="F83" s="431"/>
      <c r="G83" s="431"/>
      <c r="H83" s="431"/>
      <c r="I83" s="431"/>
      <c r="J83" s="431"/>
      <c r="K83" s="431"/>
    </row>
    <row r="84" spans="1:11" ht="16.5">
      <c r="A84" s="454"/>
      <c r="B84" s="455"/>
      <c r="C84" s="455"/>
      <c r="D84" s="430"/>
      <c r="E84" s="430"/>
      <c r="F84" s="431"/>
      <c r="G84" s="431"/>
      <c r="H84" s="431"/>
      <c r="I84" s="431"/>
      <c r="J84" s="431"/>
      <c r="K84" s="431"/>
    </row>
    <row r="85" spans="1:11" ht="16.5">
      <c r="A85" s="454"/>
      <c r="B85" s="455"/>
      <c r="C85" s="455"/>
      <c r="D85" s="430"/>
      <c r="E85" s="430"/>
      <c r="F85" s="431"/>
      <c r="G85" s="431"/>
      <c r="H85" s="431"/>
      <c r="I85" s="431"/>
      <c r="J85" s="431"/>
      <c r="K85" s="431"/>
    </row>
    <row r="86" spans="1:11" ht="16.5">
      <c r="A86" s="454"/>
      <c r="B86" s="455"/>
      <c r="C86" s="455"/>
      <c r="D86" s="430"/>
      <c r="E86" s="430"/>
      <c r="F86" s="431"/>
      <c r="G86" s="431"/>
      <c r="H86" s="431"/>
      <c r="I86" s="431"/>
      <c r="J86" s="431"/>
      <c r="K86" s="431"/>
    </row>
    <row r="87" spans="1:11" ht="16.5">
      <c r="A87" s="454"/>
      <c r="B87" s="455"/>
      <c r="C87" s="455"/>
      <c r="D87" s="430"/>
      <c r="E87" s="430"/>
      <c r="F87" s="431"/>
      <c r="G87" s="431"/>
      <c r="H87" s="431"/>
      <c r="I87" s="431"/>
      <c r="J87" s="431"/>
      <c r="K87" s="431"/>
    </row>
    <row r="88" spans="1:11" ht="16.5">
      <c r="A88" s="454"/>
      <c r="B88" s="455"/>
      <c r="C88" s="455"/>
      <c r="D88" s="430"/>
      <c r="E88" s="430"/>
      <c r="F88" s="431"/>
      <c r="G88" s="431"/>
      <c r="H88" s="431"/>
      <c r="I88" s="431"/>
      <c r="J88" s="431"/>
      <c r="K88" s="431"/>
    </row>
    <row r="89" spans="1:11" ht="16.5">
      <c r="A89" s="454"/>
      <c r="B89" s="455"/>
      <c r="C89" s="455"/>
      <c r="D89" s="430"/>
      <c r="E89" s="430"/>
      <c r="F89" s="431"/>
      <c r="G89" s="431"/>
      <c r="H89" s="431"/>
      <c r="I89" s="431"/>
      <c r="J89" s="431"/>
      <c r="K89" s="431"/>
    </row>
    <row r="90" spans="1:11" ht="16.5">
      <c r="A90" s="454"/>
      <c r="B90" s="455"/>
      <c r="C90" s="455"/>
      <c r="D90" s="430"/>
      <c r="E90" s="430"/>
      <c r="F90" s="431"/>
      <c r="G90" s="431"/>
      <c r="H90" s="431"/>
      <c r="I90" s="431"/>
      <c r="J90" s="431"/>
      <c r="K90" s="431"/>
    </row>
    <row r="91" spans="1:11" ht="16.5">
      <c r="A91" s="454"/>
      <c r="B91" s="455"/>
      <c r="C91" s="455"/>
      <c r="D91" s="430"/>
      <c r="E91" s="430"/>
      <c r="F91" s="431"/>
      <c r="G91" s="431"/>
      <c r="H91" s="431"/>
      <c r="I91" s="431"/>
      <c r="J91" s="431"/>
      <c r="K91" s="431"/>
    </row>
    <row r="92" spans="1:11" ht="16.5">
      <c r="A92" s="454"/>
      <c r="B92" s="455"/>
      <c r="C92" s="455"/>
      <c r="D92" s="430"/>
      <c r="E92" s="430"/>
      <c r="F92" s="431"/>
      <c r="G92" s="431"/>
      <c r="H92" s="431"/>
      <c r="I92" s="431"/>
      <c r="J92" s="431"/>
      <c r="K92" s="431"/>
    </row>
    <row r="93" spans="1:11" ht="16.5">
      <c r="A93" s="454"/>
      <c r="B93" s="455"/>
      <c r="C93" s="455"/>
      <c r="D93" s="430"/>
      <c r="E93" s="430"/>
      <c r="F93" s="431"/>
      <c r="G93" s="431"/>
      <c r="H93" s="431"/>
      <c r="I93" s="431"/>
      <c r="J93" s="431"/>
      <c r="K93" s="431"/>
    </row>
    <row r="94" spans="1:11" ht="16.5">
      <c r="A94" s="454"/>
      <c r="B94" s="455"/>
      <c r="C94" s="455"/>
      <c r="D94" s="430"/>
      <c r="E94" s="430"/>
      <c r="F94" s="431"/>
      <c r="G94" s="431"/>
      <c r="H94" s="431"/>
      <c r="I94" s="431"/>
      <c r="J94" s="431"/>
      <c r="K94" s="431"/>
    </row>
    <row r="95" spans="1:11" ht="16.5">
      <c r="A95" s="454"/>
      <c r="B95" s="455"/>
      <c r="C95" s="455"/>
      <c r="D95" s="430"/>
      <c r="E95" s="430"/>
      <c r="F95" s="431"/>
      <c r="G95" s="431"/>
      <c r="H95" s="431"/>
      <c r="I95" s="431"/>
      <c r="J95" s="431"/>
      <c r="K95" s="431"/>
    </row>
    <row r="96" spans="1:11" ht="16.5">
      <c r="A96" s="454"/>
      <c r="B96" s="455"/>
      <c r="C96" s="455"/>
      <c r="D96" s="430"/>
      <c r="E96" s="430"/>
      <c r="F96" s="431"/>
      <c r="G96" s="431"/>
      <c r="H96" s="431"/>
      <c r="I96" s="431"/>
      <c r="J96" s="431"/>
      <c r="K96" s="431"/>
    </row>
    <row r="97" spans="1:11" ht="16.5">
      <c r="A97" s="454"/>
      <c r="B97" s="455"/>
      <c r="C97" s="455"/>
      <c r="D97" s="430"/>
      <c r="E97" s="430"/>
      <c r="F97" s="431"/>
      <c r="G97" s="431"/>
      <c r="H97" s="431"/>
      <c r="I97" s="431"/>
      <c r="J97" s="431"/>
      <c r="K97" s="431"/>
    </row>
    <row r="98" spans="1:11" ht="16.5">
      <c r="A98" s="454"/>
      <c r="B98" s="455"/>
      <c r="C98" s="455"/>
      <c r="D98" s="430"/>
      <c r="E98" s="430"/>
      <c r="F98" s="431"/>
      <c r="G98" s="431"/>
      <c r="H98" s="431"/>
      <c r="I98" s="431"/>
      <c r="J98" s="431"/>
      <c r="K98" s="431"/>
    </row>
    <row r="99" spans="1:11" ht="16.5">
      <c r="A99" s="454"/>
      <c r="B99" s="455"/>
      <c r="C99" s="455"/>
      <c r="D99" s="430"/>
      <c r="E99" s="430"/>
      <c r="F99" s="431"/>
      <c r="G99" s="431"/>
      <c r="H99" s="431"/>
      <c r="I99" s="431"/>
      <c r="J99" s="431"/>
      <c r="K99" s="431"/>
    </row>
    <row r="100" spans="1:11" ht="16.5">
      <c r="A100" s="454"/>
      <c r="B100" s="455"/>
      <c r="C100" s="455"/>
      <c r="D100" s="430"/>
      <c r="E100" s="430"/>
      <c r="F100" s="431"/>
      <c r="G100" s="431"/>
      <c r="H100" s="431"/>
      <c r="I100" s="431"/>
      <c r="J100" s="431"/>
      <c r="K100" s="431"/>
    </row>
    <row r="101" spans="1:11" ht="16.5">
      <c r="A101" s="454"/>
      <c r="B101" s="455"/>
      <c r="C101" s="455"/>
      <c r="D101" s="430"/>
      <c r="E101" s="430"/>
      <c r="F101" s="431"/>
      <c r="G101" s="431"/>
      <c r="H101" s="431"/>
      <c r="I101" s="431"/>
      <c r="J101" s="431"/>
      <c r="K101" s="431"/>
    </row>
    <row r="102" spans="1:11" ht="16.5">
      <c r="A102" s="454"/>
      <c r="B102" s="455"/>
      <c r="C102" s="455"/>
      <c r="D102" s="430"/>
      <c r="E102" s="430"/>
      <c r="F102" s="431"/>
      <c r="G102" s="431"/>
      <c r="H102" s="431"/>
      <c r="I102" s="431"/>
      <c r="J102" s="431"/>
      <c r="K102" s="431"/>
    </row>
    <row r="103" spans="1:11" ht="16.5">
      <c r="A103" s="454"/>
      <c r="B103" s="455"/>
      <c r="C103" s="455"/>
      <c r="D103" s="430"/>
      <c r="E103" s="430"/>
      <c r="F103" s="431"/>
      <c r="G103" s="431"/>
      <c r="H103" s="431"/>
      <c r="I103" s="431"/>
      <c r="J103" s="431"/>
      <c r="K103" s="431"/>
    </row>
    <row r="104" spans="1:11" ht="16.5">
      <c r="A104" s="454"/>
      <c r="B104" s="455"/>
      <c r="C104" s="455"/>
      <c r="D104" s="430"/>
      <c r="E104" s="430"/>
      <c r="F104" s="431"/>
      <c r="G104" s="431"/>
      <c r="H104" s="431"/>
      <c r="I104" s="431"/>
      <c r="J104" s="431"/>
      <c r="K104" s="431"/>
    </row>
    <row r="105" spans="1:11" ht="16.5">
      <c r="A105" s="454"/>
      <c r="B105" s="455"/>
      <c r="C105" s="455"/>
      <c r="D105" s="430"/>
      <c r="E105" s="430"/>
      <c r="F105" s="431"/>
      <c r="G105" s="431"/>
      <c r="H105" s="431"/>
      <c r="I105" s="431"/>
      <c r="J105" s="431"/>
      <c r="K105" s="431"/>
    </row>
    <row r="106" spans="1:11" ht="16.5">
      <c r="A106" s="454"/>
      <c r="B106" s="455"/>
      <c r="C106" s="455"/>
      <c r="D106" s="430"/>
      <c r="E106" s="430"/>
      <c r="F106" s="431"/>
      <c r="G106" s="431"/>
      <c r="H106" s="431"/>
      <c r="I106" s="431"/>
      <c r="J106" s="431"/>
      <c r="K106" s="431"/>
    </row>
    <row r="107" spans="1:11" ht="16.5">
      <c r="A107" s="454"/>
      <c r="B107" s="455"/>
      <c r="C107" s="455"/>
      <c r="D107" s="430"/>
      <c r="E107" s="430"/>
      <c r="F107" s="431"/>
      <c r="G107" s="431"/>
      <c r="H107" s="431"/>
      <c r="I107" s="431"/>
      <c r="J107" s="431"/>
      <c r="K107" s="431"/>
    </row>
    <row r="108" spans="1:11" ht="16.5">
      <c r="A108" s="454"/>
      <c r="B108" s="455"/>
      <c r="C108" s="455"/>
      <c r="D108" s="430"/>
      <c r="E108" s="430"/>
      <c r="F108" s="431"/>
      <c r="G108" s="431"/>
      <c r="H108" s="431"/>
      <c r="I108" s="431"/>
      <c r="J108" s="431"/>
      <c r="K108" s="431"/>
    </row>
    <row r="109" spans="1:11" ht="16.5">
      <c r="A109" s="454"/>
      <c r="B109" s="455"/>
      <c r="C109" s="455"/>
      <c r="D109" s="430"/>
      <c r="E109" s="430"/>
      <c r="F109" s="431"/>
      <c r="G109" s="431"/>
      <c r="H109" s="431"/>
      <c r="I109" s="431"/>
      <c r="J109" s="431"/>
      <c r="K109" s="431"/>
    </row>
    <row r="110" spans="1:11" ht="16.5">
      <c r="A110" s="454"/>
      <c r="B110" s="455"/>
      <c r="C110" s="455"/>
      <c r="D110" s="430"/>
      <c r="E110" s="430"/>
      <c r="F110" s="431"/>
      <c r="G110" s="431"/>
      <c r="H110" s="431"/>
      <c r="I110" s="431"/>
      <c r="J110" s="431"/>
      <c r="K110" s="431"/>
    </row>
    <row r="111" spans="1:11" ht="16.5">
      <c r="A111" s="454"/>
      <c r="B111" s="455"/>
      <c r="C111" s="455"/>
      <c r="D111" s="430"/>
      <c r="E111" s="430"/>
      <c r="F111" s="431"/>
      <c r="G111" s="431"/>
      <c r="H111" s="431"/>
      <c r="I111" s="431"/>
      <c r="J111" s="431"/>
      <c r="K111" s="431"/>
    </row>
    <row r="112" spans="1:11" ht="16.5">
      <c r="A112" s="454"/>
      <c r="B112" s="455"/>
      <c r="C112" s="455"/>
      <c r="D112" s="430"/>
      <c r="E112" s="430"/>
      <c r="F112" s="431"/>
      <c r="G112" s="431"/>
      <c r="H112" s="431"/>
      <c r="I112" s="431"/>
      <c r="J112" s="431"/>
      <c r="K112" s="431"/>
    </row>
    <row r="113" spans="1:11" ht="16.5">
      <c r="A113" s="454"/>
      <c r="B113" s="455"/>
      <c r="C113" s="455"/>
      <c r="D113" s="430"/>
      <c r="E113" s="430"/>
      <c r="F113" s="431"/>
      <c r="G113" s="431"/>
      <c r="H113" s="431"/>
      <c r="I113" s="431"/>
      <c r="J113" s="431"/>
      <c r="K113" s="431"/>
    </row>
    <row r="114" spans="1:11" ht="16.5">
      <c r="A114" s="454"/>
      <c r="B114" s="455"/>
      <c r="C114" s="455"/>
      <c r="D114" s="430"/>
      <c r="E114" s="430"/>
      <c r="F114" s="431"/>
      <c r="G114" s="431"/>
      <c r="H114" s="431"/>
      <c r="I114" s="431"/>
      <c r="J114" s="431"/>
      <c r="K114" s="431"/>
    </row>
    <row r="115" spans="1:11" ht="16.5">
      <c r="A115" s="454"/>
      <c r="B115" s="455"/>
      <c r="C115" s="455"/>
      <c r="D115" s="430"/>
      <c r="E115" s="430"/>
      <c r="F115" s="431"/>
      <c r="G115" s="431"/>
      <c r="H115" s="431"/>
      <c r="I115" s="431"/>
      <c r="J115" s="431"/>
      <c r="K115" s="431"/>
    </row>
    <row r="116" spans="1:11" ht="16.5">
      <c r="A116" s="454"/>
      <c r="B116" s="455"/>
      <c r="C116" s="455"/>
      <c r="D116" s="430"/>
      <c r="E116" s="430"/>
      <c r="F116" s="431"/>
      <c r="G116" s="431"/>
      <c r="H116" s="431"/>
      <c r="I116" s="431"/>
      <c r="J116" s="431"/>
      <c r="K116" s="431"/>
    </row>
    <row r="117" spans="1:11" ht="16.5">
      <c r="A117" s="454"/>
      <c r="B117" s="455"/>
      <c r="C117" s="455"/>
      <c r="D117" s="430"/>
      <c r="E117" s="430"/>
      <c r="F117" s="431"/>
      <c r="G117" s="431"/>
      <c r="H117" s="431"/>
      <c r="I117" s="431"/>
      <c r="J117" s="431"/>
      <c r="K117" s="431"/>
    </row>
    <row r="118" spans="1:11" ht="16.5">
      <c r="A118" s="454"/>
      <c r="B118" s="455"/>
      <c r="C118" s="455"/>
      <c r="D118" s="430"/>
      <c r="E118" s="430"/>
      <c r="F118" s="431"/>
      <c r="G118" s="431"/>
      <c r="H118" s="431"/>
      <c r="I118" s="431"/>
      <c r="J118" s="431"/>
      <c r="K118" s="431"/>
    </row>
    <row r="119" spans="1:11" ht="16.5">
      <c r="A119" s="454"/>
      <c r="B119" s="455"/>
      <c r="C119" s="455"/>
      <c r="D119" s="430"/>
      <c r="E119" s="430"/>
      <c r="F119" s="431"/>
      <c r="G119" s="431"/>
      <c r="H119" s="431"/>
      <c r="I119" s="431"/>
      <c r="J119" s="431"/>
      <c r="K119" s="431"/>
    </row>
    <row r="120" spans="1:11" ht="16.5">
      <c r="A120" s="454"/>
      <c r="B120" s="455"/>
      <c r="C120" s="455"/>
      <c r="D120" s="430"/>
      <c r="E120" s="430"/>
      <c r="F120" s="431"/>
      <c r="G120" s="431"/>
      <c r="H120" s="431"/>
      <c r="I120" s="431"/>
      <c r="J120" s="431"/>
      <c r="K120" s="431"/>
    </row>
    <row r="121" spans="1:11" ht="16.5">
      <c r="A121" s="454"/>
      <c r="B121" s="455"/>
      <c r="C121" s="455"/>
      <c r="D121" s="430"/>
      <c r="E121" s="430"/>
      <c r="F121" s="431"/>
      <c r="G121" s="431"/>
      <c r="H121" s="431"/>
      <c r="I121" s="431"/>
      <c r="J121" s="431"/>
      <c r="K121" s="431"/>
    </row>
    <row r="122" spans="1:11" ht="16.5">
      <c r="A122" s="454"/>
      <c r="B122" s="455"/>
      <c r="C122" s="455"/>
      <c r="D122" s="430"/>
      <c r="E122" s="430"/>
      <c r="F122" s="431"/>
      <c r="G122" s="431"/>
      <c r="H122" s="431"/>
      <c r="I122" s="431"/>
      <c r="J122" s="431"/>
      <c r="K122" s="431"/>
    </row>
    <row r="123" spans="1:11" ht="16.5">
      <c r="A123" s="454"/>
      <c r="B123" s="455"/>
      <c r="C123" s="455"/>
      <c r="D123" s="430"/>
      <c r="E123" s="430"/>
      <c r="F123" s="431"/>
      <c r="G123" s="431"/>
      <c r="H123" s="431"/>
      <c r="I123" s="431"/>
      <c r="J123" s="431"/>
      <c r="K123" s="431"/>
    </row>
    <row r="124" spans="1:11" ht="16.5">
      <c r="A124" s="454"/>
      <c r="B124" s="455"/>
      <c r="C124" s="455"/>
      <c r="D124" s="430"/>
      <c r="E124" s="430"/>
      <c r="F124" s="431"/>
      <c r="G124" s="431"/>
      <c r="H124" s="431"/>
      <c r="I124" s="431"/>
      <c r="J124" s="431"/>
      <c r="K124" s="431"/>
    </row>
    <row r="125" spans="1:11" ht="16.5">
      <c r="A125" s="454"/>
      <c r="B125" s="455"/>
      <c r="C125" s="455"/>
      <c r="D125" s="430"/>
      <c r="E125" s="430"/>
      <c r="F125" s="431"/>
      <c r="G125" s="431"/>
      <c r="H125" s="431"/>
      <c r="I125" s="431"/>
      <c r="J125" s="431"/>
      <c r="K125" s="431"/>
    </row>
    <row r="126" spans="1:11" ht="16.5">
      <c r="A126" s="454"/>
      <c r="B126" s="455"/>
      <c r="C126" s="455"/>
      <c r="D126" s="430"/>
      <c r="E126" s="430"/>
      <c r="F126" s="431"/>
      <c r="G126" s="431"/>
      <c r="H126" s="431"/>
      <c r="I126" s="431"/>
      <c r="J126" s="431"/>
      <c r="K126" s="431"/>
    </row>
    <row r="127" spans="1:11" ht="16.5">
      <c r="A127" s="454"/>
      <c r="B127" s="455"/>
      <c r="C127" s="455"/>
      <c r="D127" s="430"/>
      <c r="E127" s="430"/>
      <c r="F127" s="431"/>
      <c r="G127" s="431"/>
      <c r="H127" s="431"/>
      <c r="I127" s="431"/>
      <c r="J127" s="431"/>
      <c r="K127" s="431"/>
    </row>
    <row r="128" spans="1:11" ht="16.5">
      <c r="A128" s="454"/>
      <c r="B128" s="455"/>
      <c r="C128" s="455"/>
      <c r="D128" s="430"/>
      <c r="E128" s="430"/>
      <c r="F128" s="431"/>
      <c r="G128" s="431"/>
      <c r="H128" s="431"/>
      <c r="I128" s="431"/>
      <c r="J128" s="431"/>
      <c r="K128" s="431"/>
    </row>
    <row r="129" spans="1:11" ht="16.5">
      <c r="A129" s="454"/>
      <c r="B129" s="455"/>
      <c r="C129" s="455"/>
      <c r="D129" s="430"/>
      <c r="E129" s="430"/>
      <c r="F129" s="431"/>
      <c r="G129" s="431"/>
      <c r="H129" s="431"/>
      <c r="I129" s="431"/>
      <c r="J129" s="431"/>
      <c r="K129" s="431"/>
    </row>
    <row r="130" spans="1:11" ht="16.5">
      <c r="A130" s="454"/>
      <c r="B130" s="455"/>
      <c r="C130" s="455"/>
      <c r="D130" s="430"/>
      <c r="E130" s="430"/>
      <c r="F130" s="431"/>
      <c r="G130" s="431"/>
      <c r="H130" s="431"/>
      <c r="I130" s="431"/>
      <c r="J130" s="431"/>
      <c r="K130" s="431"/>
    </row>
    <row r="131" spans="1:11" ht="16.5">
      <c r="A131" s="454"/>
      <c r="B131" s="455"/>
      <c r="C131" s="455"/>
      <c r="D131" s="430"/>
      <c r="E131" s="430"/>
      <c r="F131" s="431"/>
      <c r="G131" s="431"/>
      <c r="H131" s="431"/>
      <c r="I131" s="431"/>
      <c r="J131" s="431"/>
      <c r="K131" s="431"/>
    </row>
    <row r="132" spans="1:11" ht="16.5">
      <c r="A132" s="454"/>
      <c r="B132" s="455"/>
      <c r="C132" s="455"/>
      <c r="D132" s="430"/>
      <c r="E132" s="430"/>
      <c r="F132" s="431"/>
      <c r="G132" s="431"/>
      <c r="H132" s="431"/>
      <c r="I132" s="431"/>
      <c r="J132" s="431"/>
      <c r="K132" s="431"/>
    </row>
    <row r="133" spans="1:11" ht="16.5">
      <c r="A133" s="454"/>
      <c r="B133" s="455"/>
      <c r="C133" s="455"/>
      <c r="D133" s="430"/>
      <c r="E133" s="430"/>
      <c r="F133" s="431"/>
      <c r="G133" s="431"/>
      <c r="H133" s="431"/>
      <c r="I133" s="431"/>
      <c r="J133" s="431"/>
      <c r="K133" s="431"/>
    </row>
    <row r="134" spans="1:11" ht="16.5">
      <c r="A134" s="454"/>
      <c r="B134" s="455"/>
      <c r="C134" s="455"/>
      <c r="D134" s="430"/>
      <c r="E134" s="430"/>
      <c r="F134" s="431"/>
      <c r="G134" s="431"/>
      <c r="H134" s="431"/>
      <c r="I134" s="431"/>
      <c r="J134" s="431"/>
      <c r="K134" s="431"/>
    </row>
    <row r="135" spans="1:11" ht="16.5">
      <c r="A135" s="454"/>
      <c r="B135" s="455"/>
      <c r="C135" s="455"/>
      <c r="D135" s="430"/>
      <c r="E135" s="430"/>
      <c r="F135" s="431"/>
      <c r="G135" s="431"/>
      <c r="H135" s="431"/>
      <c r="I135" s="431"/>
      <c r="J135" s="431"/>
      <c r="K135" s="431"/>
    </row>
    <row r="136" spans="1:11" ht="16.5">
      <c r="A136" s="454"/>
      <c r="B136" s="455"/>
      <c r="C136" s="455"/>
      <c r="D136" s="430"/>
      <c r="E136" s="430"/>
      <c r="F136" s="431"/>
      <c r="G136" s="431"/>
      <c r="H136" s="431"/>
      <c r="I136" s="431"/>
      <c r="J136" s="431"/>
      <c r="K136" s="431"/>
    </row>
    <row r="137" spans="1:11" ht="16.5">
      <c r="A137" s="454"/>
      <c r="B137" s="455"/>
      <c r="C137" s="455"/>
      <c r="D137" s="430"/>
      <c r="E137" s="430"/>
      <c r="F137" s="431"/>
      <c r="G137" s="431"/>
      <c r="H137" s="431"/>
      <c r="I137" s="431"/>
      <c r="J137" s="431"/>
      <c r="K137" s="431"/>
    </row>
    <row r="138" spans="1:11" ht="16.5">
      <c r="A138" s="454"/>
      <c r="B138" s="455"/>
      <c r="C138" s="455"/>
      <c r="D138" s="430"/>
      <c r="E138" s="430"/>
      <c r="F138" s="431"/>
      <c r="G138" s="431"/>
      <c r="H138" s="431"/>
      <c r="I138" s="431"/>
      <c r="J138" s="431"/>
      <c r="K138" s="431"/>
    </row>
    <row r="139" spans="1:11" ht="16.5">
      <c r="A139" s="454"/>
      <c r="B139" s="455"/>
      <c r="C139" s="455"/>
      <c r="D139" s="430"/>
      <c r="E139" s="430"/>
      <c r="F139" s="431"/>
      <c r="G139" s="431"/>
      <c r="H139" s="431"/>
      <c r="I139" s="431"/>
      <c r="J139" s="431"/>
      <c r="K139" s="431"/>
    </row>
    <row r="140" spans="1:11" ht="16.5">
      <c r="A140" s="454"/>
      <c r="B140" s="455"/>
      <c r="C140" s="455"/>
      <c r="D140" s="430"/>
      <c r="E140" s="430"/>
      <c r="F140" s="431"/>
      <c r="G140" s="431"/>
      <c r="H140" s="431"/>
      <c r="I140" s="431"/>
      <c r="J140" s="431"/>
      <c r="K140" s="431"/>
    </row>
    <row r="141" spans="1:11" ht="16.5">
      <c r="A141" s="454"/>
      <c r="B141" s="455"/>
      <c r="C141" s="455"/>
      <c r="D141" s="430"/>
      <c r="E141" s="430"/>
      <c r="F141" s="431"/>
      <c r="G141" s="431"/>
      <c r="H141" s="431"/>
      <c r="I141" s="431"/>
      <c r="J141" s="431"/>
      <c r="K141" s="431"/>
    </row>
    <row r="142" spans="1:11" ht="16.5">
      <c r="A142" s="454"/>
      <c r="B142" s="455"/>
      <c r="C142" s="455"/>
      <c r="D142" s="430"/>
      <c r="E142" s="430"/>
      <c r="F142" s="431"/>
      <c r="G142" s="431"/>
      <c r="H142" s="431"/>
      <c r="I142" s="431"/>
      <c r="J142" s="431"/>
      <c r="K142" s="431"/>
    </row>
    <row r="143" spans="1:11" ht="16.5">
      <c r="A143" s="454"/>
      <c r="B143" s="455"/>
      <c r="C143" s="455"/>
      <c r="D143" s="430"/>
      <c r="E143" s="430"/>
      <c r="F143" s="431"/>
      <c r="G143" s="431"/>
      <c r="H143" s="431"/>
      <c r="I143" s="431"/>
      <c r="J143" s="431"/>
      <c r="K143" s="431"/>
    </row>
    <row r="144" spans="1:11" ht="16.5">
      <c r="A144" s="454"/>
      <c r="B144" s="455"/>
      <c r="C144" s="455"/>
      <c r="D144" s="430"/>
      <c r="E144" s="430"/>
      <c r="F144" s="431"/>
      <c r="G144" s="431"/>
      <c r="H144" s="431"/>
      <c r="I144" s="431"/>
      <c r="J144" s="431"/>
      <c r="K144" s="431"/>
    </row>
    <row r="145" spans="1:11" ht="16.5">
      <c r="A145" s="454"/>
      <c r="B145" s="455"/>
      <c r="C145" s="455"/>
      <c r="D145" s="430"/>
      <c r="E145" s="430"/>
      <c r="F145" s="431"/>
      <c r="G145" s="431"/>
      <c r="H145" s="431"/>
      <c r="I145" s="431"/>
      <c r="J145" s="431"/>
      <c r="K145" s="431"/>
    </row>
    <row r="146" spans="1:11" ht="16.5">
      <c r="A146" s="454"/>
      <c r="B146" s="455"/>
      <c r="C146" s="455"/>
      <c r="D146" s="430"/>
      <c r="E146" s="430"/>
      <c r="F146" s="431"/>
      <c r="G146" s="431"/>
      <c r="H146" s="431"/>
      <c r="I146" s="431"/>
      <c r="J146" s="431"/>
      <c r="K146" s="431"/>
    </row>
    <row r="147" spans="1:11" ht="16.5">
      <c r="A147" s="454"/>
      <c r="B147" s="455"/>
      <c r="C147" s="455"/>
      <c r="D147" s="430"/>
      <c r="E147" s="430"/>
      <c r="F147" s="431"/>
      <c r="G147" s="431"/>
      <c r="H147" s="431"/>
      <c r="I147" s="431"/>
      <c r="J147" s="431"/>
      <c r="K147" s="431"/>
    </row>
    <row r="148" spans="1:11" ht="16.5">
      <c r="A148" s="454"/>
      <c r="B148" s="455"/>
      <c r="C148" s="455"/>
      <c r="D148" s="430"/>
      <c r="E148" s="430"/>
      <c r="F148" s="431"/>
      <c r="G148" s="431"/>
      <c r="H148" s="431"/>
      <c r="I148" s="431"/>
      <c r="J148" s="431"/>
      <c r="K148" s="431"/>
    </row>
    <row r="149" spans="1:11" ht="16.5">
      <c r="A149" s="454"/>
      <c r="B149" s="455"/>
      <c r="C149" s="455"/>
      <c r="D149" s="430"/>
      <c r="E149" s="430"/>
      <c r="F149" s="431"/>
      <c r="G149" s="431"/>
      <c r="H149" s="431"/>
      <c r="I149" s="431"/>
      <c r="J149" s="431"/>
      <c r="K149" s="431"/>
    </row>
    <row r="150" spans="1:11" ht="16.5">
      <c r="A150" s="454"/>
      <c r="B150" s="455"/>
      <c r="C150" s="455"/>
      <c r="D150" s="430"/>
      <c r="E150" s="430"/>
      <c r="F150" s="431"/>
      <c r="G150" s="431"/>
      <c r="H150" s="431"/>
      <c r="I150" s="431"/>
      <c r="J150" s="431"/>
      <c r="K150" s="431"/>
    </row>
    <row r="151" spans="1:11" ht="16.5">
      <c r="A151" s="454"/>
      <c r="B151" s="455"/>
      <c r="C151" s="455"/>
      <c r="D151" s="430"/>
      <c r="E151" s="430"/>
      <c r="F151" s="431"/>
      <c r="G151" s="431"/>
      <c r="H151" s="431"/>
      <c r="I151" s="431"/>
      <c r="J151" s="431"/>
      <c r="K151" s="431"/>
    </row>
    <row r="152" spans="1:11" ht="16.5">
      <c r="A152" s="454"/>
      <c r="B152" s="455"/>
      <c r="C152" s="455"/>
      <c r="D152" s="430"/>
      <c r="E152" s="430"/>
      <c r="F152" s="431"/>
      <c r="G152" s="431"/>
      <c r="H152" s="431"/>
      <c r="I152" s="431"/>
      <c r="J152" s="431"/>
      <c r="K152" s="431"/>
    </row>
    <row r="153" spans="1:11" ht="16.5">
      <c r="A153" s="454"/>
      <c r="B153" s="455"/>
      <c r="C153" s="455"/>
      <c r="D153" s="430"/>
      <c r="E153" s="430"/>
      <c r="F153" s="431"/>
      <c r="G153" s="431"/>
      <c r="H153" s="431"/>
      <c r="I153" s="431"/>
      <c r="J153" s="431"/>
      <c r="K153" s="431"/>
    </row>
    <row r="154" spans="1:11" ht="16.5">
      <c r="A154" s="454"/>
      <c r="B154" s="455"/>
      <c r="C154" s="455"/>
      <c r="D154" s="430"/>
      <c r="E154" s="430"/>
      <c r="F154" s="431"/>
      <c r="G154" s="431"/>
      <c r="H154" s="431"/>
      <c r="I154" s="431"/>
      <c r="J154" s="431"/>
      <c r="K154" s="431"/>
    </row>
    <row r="155" spans="1:11" ht="16.5">
      <c r="A155" s="454"/>
      <c r="B155" s="455"/>
      <c r="C155" s="455"/>
      <c r="D155" s="430"/>
      <c r="E155" s="430"/>
      <c r="F155" s="431"/>
      <c r="G155" s="431"/>
      <c r="H155" s="431"/>
      <c r="I155" s="431"/>
      <c r="J155" s="431"/>
      <c r="K155" s="431"/>
    </row>
    <row r="156" spans="1:11" ht="16.5">
      <c r="A156" s="454"/>
      <c r="B156" s="455"/>
      <c r="C156" s="455"/>
      <c r="D156" s="430"/>
      <c r="E156" s="430"/>
      <c r="F156" s="431"/>
      <c r="G156" s="431"/>
      <c r="H156" s="431"/>
      <c r="I156" s="431"/>
      <c r="J156" s="431"/>
      <c r="K156" s="431"/>
    </row>
    <row r="157" spans="1:11" ht="16.5">
      <c r="A157" s="454"/>
      <c r="B157" s="455"/>
      <c r="C157" s="455"/>
      <c r="D157" s="430"/>
      <c r="E157" s="430"/>
      <c r="F157" s="431"/>
      <c r="G157" s="431"/>
      <c r="H157" s="431"/>
      <c r="I157" s="431"/>
      <c r="J157" s="431"/>
      <c r="K157" s="431"/>
    </row>
    <row r="158" spans="1:11" ht="16.5">
      <c r="A158" s="454"/>
      <c r="B158" s="455"/>
      <c r="C158" s="455"/>
      <c r="D158" s="430"/>
      <c r="E158" s="430"/>
      <c r="F158" s="431"/>
      <c r="G158" s="431"/>
      <c r="H158" s="431"/>
      <c r="I158" s="431"/>
      <c r="J158" s="431"/>
      <c r="K158" s="431"/>
    </row>
    <row r="159" spans="1:11" ht="16.5">
      <c r="A159" s="454"/>
      <c r="B159" s="455"/>
      <c r="C159" s="455"/>
      <c r="D159" s="430"/>
      <c r="E159" s="430"/>
      <c r="F159" s="431"/>
      <c r="G159" s="431"/>
      <c r="H159" s="431"/>
      <c r="I159" s="431"/>
      <c r="J159" s="431"/>
      <c r="K159" s="431"/>
    </row>
    <row r="160" spans="1:11" ht="16.5">
      <c r="A160" s="454"/>
      <c r="B160" s="455"/>
      <c r="C160" s="455"/>
      <c r="D160" s="430"/>
      <c r="E160" s="430"/>
      <c r="F160" s="431"/>
      <c r="G160" s="431"/>
      <c r="H160" s="431"/>
      <c r="I160" s="431"/>
      <c r="J160" s="431"/>
      <c r="K160" s="431"/>
    </row>
    <row r="161" spans="1:11" ht="16.5">
      <c r="A161" s="454"/>
      <c r="B161" s="455"/>
      <c r="C161" s="455"/>
      <c r="D161" s="430"/>
      <c r="E161" s="430"/>
      <c r="F161" s="431"/>
      <c r="G161" s="431"/>
      <c r="H161" s="431"/>
      <c r="I161" s="431"/>
      <c r="J161" s="431"/>
      <c r="K161" s="431"/>
    </row>
    <row r="162" spans="1:11" ht="16.5">
      <c r="A162" s="454"/>
      <c r="B162" s="455"/>
      <c r="C162" s="455"/>
      <c r="D162" s="430"/>
      <c r="E162" s="430"/>
      <c r="F162" s="431"/>
      <c r="G162" s="431"/>
      <c r="H162" s="431"/>
      <c r="I162" s="431"/>
      <c r="J162" s="431"/>
      <c r="K162" s="431"/>
    </row>
    <row r="163" spans="1:11" ht="16.5">
      <c r="A163" s="454"/>
      <c r="B163" s="455"/>
      <c r="C163" s="455"/>
      <c r="D163" s="430"/>
      <c r="E163" s="430"/>
      <c r="F163" s="431"/>
      <c r="G163" s="431"/>
      <c r="H163" s="431"/>
      <c r="I163" s="431"/>
      <c r="J163" s="431"/>
      <c r="K163" s="431"/>
    </row>
    <row r="164" spans="1:11" ht="16.5">
      <c r="A164" s="454"/>
      <c r="B164" s="455"/>
      <c r="C164" s="455"/>
      <c r="D164" s="430"/>
      <c r="E164" s="430"/>
      <c r="F164" s="431"/>
      <c r="G164" s="431"/>
      <c r="H164" s="431"/>
      <c r="I164" s="431"/>
      <c r="J164" s="431"/>
      <c r="K164" s="431"/>
    </row>
    <row r="165" spans="1:11" ht="16.5">
      <c r="A165" s="454"/>
      <c r="B165" s="455"/>
      <c r="C165" s="455"/>
      <c r="D165" s="430"/>
      <c r="E165" s="430"/>
      <c r="F165" s="431"/>
      <c r="G165" s="431"/>
      <c r="H165" s="431"/>
      <c r="I165" s="431"/>
      <c r="J165" s="431"/>
      <c r="K165" s="431"/>
    </row>
    <row r="166" spans="1:11" ht="16.5">
      <c r="A166" s="454"/>
      <c r="B166" s="455"/>
      <c r="C166" s="455"/>
      <c r="D166" s="430"/>
      <c r="E166" s="430"/>
      <c r="F166" s="431"/>
      <c r="G166" s="431"/>
      <c r="H166" s="431"/>
      <c r="I166" s="431"/>
      <c r="J166" s="431"/>
      <c r="K166" s="431"/>
    </row>
    <row r="167" spans="1:11" ht="16.5">
      <c r="A167" s="454"/>
      <c r="B167" s="455"/>
      <c r="C167" s="455"/>
      <c r="D167" s="430"/>
      <c r="E167" s="430"/>
      <c r="F167" s="431"/>
      <c r="G167" s="431"/>
      <c r="H167" s="431"/>
      <c r="I167" s="431"/>
      <c r="J167" s="431"/>
      <c r="K167" s="431"/>
    </row>
    <row r="168" spans="1:11" ht="16.5">
      <c r="A168" s="454"/>
      <c r="B168" s="455"/>
      <c r="C168" s="455"/>
      <c r="D168" s="430"/>
      <c r="E168" s="430"/>
      <c r="F168" s="431"/>
      <c r="G168" s="431"/>
      <c r="H168" s="431"/>
      <c r="I168" s="431"/>
      <c r="J168" s="431"/>
      <c r="K168" s="431"/>
    </row>
    <row r="169" spans="1:11" ht="16.5">
      <c r="A169" s="454"/>
      <c r="B169" s="455"/>
      <c r="C169" s="455"/>
      <c r="D169" s="430"/>
      <c r="E169" s="430"/>
      <c r="F169" s="431"/>
      <c r="G169" s="431"/>
      <c r="H169" s="431"/>
      <c r="I169" s="431"/>
      <c r="J169" s="431"/>
      <c r="K169" s="431"/>
    </row>
    <row r="170" spans="1:11" ht="16.5">
      <c r="A170" s="454"/>
      <c r="B170" s="455"/>
      <c r="C170" s="455"/>
      <c r="D170" s="430"/>
      <c r="E170" s="430"/>
      <c r="F170" s="431"/>
      <c r="G170" s="431"/>
      <c r="H170" s="431"/>
      <c r="I170" s="431"/>
      <c r="J170" s="431"/>
      <c r="K170" s="431"/>
    </row>
    <row r="171" spans="1:11" ht="16.5">
      <c r="A171" s="454"/>
      <c r="B171" s="455"/>
      <c r="C171" s="455"/>
      <c r="D171" s="430"/>
      <c r="E171" s="430"/>
      <c r="F171" s="431"/>
      <c r="G171" s="431"/>
      <c r="H171" s="431"/>
      <c r="I171" s="431"/>
      <c r="J171" s="431"/>
      <c r="K171" s="431"/>
    </row>
    <row r="172" spans="1:11" ht="16.5">
      <c r="A172" s="454"/>
      <c r="B172" s="455"/>
      <c r="C172" s="455"/>
      <c r="D172" s="430"/>
      <c r="E172" s="430"/>
      <c r="F172" s="431"/>
      <c r="G172" s="431"/>
      <c r="H172" s="431"/>
      <c r="I172" s="431"/>
      <c r="J172" s="431"/>
      <c r="K172" s="431"/>
    </row>
    <row r="173" spans="1:11" ht="16.5">
      <c r="A173" s="454"/>
      <c r="B173" s="455"/>
      <c r="C173" s="455"/>
      <c r="D173" s="430"/>
      <c r="E173" s="430"/>
      <c r="F173" s="431"/>
      <c r="G173" s="431"/>
      <c r="H173" s="431"/>
      <c r="I173" s="431"/>
      <c r="J173" s="431"/>
      <c r="K173" s="431"/>
    </row>
    <row r="174" spans="1:11" ht="16.5">
      <c r="A174" s="454"/>
      <c r="B174" s="455"/>
      <c r="C174" s="455"/>
      <c r="D174" s="430"/>
      <c r="E174" s="430"/>
      <c r="F174" s="431"/>
      <c r="G174" s="431"/>
      <c r="H174" s="431"/>
      <c r="I174" s="431"/>
      <c r="J174" s="431"/>
      <c r="K174" s="431"/>
    </row>
    <row r="175" spans="1:11" ht="16.5">
      <c r="A175" s="454"/>
      <c r="B175" s="455"/>
      <c r="C175" s="455"/>
      <c r="D175" s="430"/>
      <c r="E175" s="430"/>
      <c r="F175" s="431"/>
      <c r="G175" s="431"/>
      <c r="H175" s="431"/>
      <c r="I175" s="431"/>
      <c r="J175" s="431"/>
      <c r="K175" s="431"/>
    </row>
    <row r="176" spans="1:11" ht="16.5">
      <c r="A176" s="454"/>
      <c r="B176" s="455"/>
      <c r="C176" s="455"/>
      <c r="D176" s="430"/>
      <c r="E176" s="430"/>
      <c r="F176" s="431"/>
      <c r="G176" s="431"/>
      <c r="H176" s="431"/>
      <c r="I176" s="431"/>
      <c r="J176" s="431"/>
      <c r="K176" s="431"/>
    </row>
    <row r="177" spans="1:11" ht="16.5">
      <c r="A177" s="454"/>
      <c r="B177" s="455"/>
      <c r="C177" s="455"/>
      <c r="D177" s="430"/>
      <c r="E177" s="430"/>
      <c r="F177" s="431"/>
      <c r="G177" s="431"/>
      <c r="H177" s="431"/>
      <c r="I177" s="431"/>
      <c r="J177" s="431"/>
      <c r="K177" s="431"/>
    </row>
    <row r="178" spans="1:11" ht="16.5">
      <c r="A178" s="454"/>
      <c r="B178" s="455"/>
      <c r="C178" s="455"/>
      <c r="D178" s="430"/>
      <c r="E178" s="430"/>
      <c r="F178" s="431"/>
      <c r="G178" s="431"/>
      <c r="H178" s="431"/>
      <c r="I178" s="431"/>
      <c r="J178" s="431"/>
      <c r="K178" s="431"/>
    </row>
    <row r="179" spans="1:11" ht="16.5">
      <c r="A179" s="454"/>
      <c r="B179" s="455"/>
      <c r="C179" s="455"/>
      <c r="D179" s="430"/>
      <c r="E179" s="430"/>
      <c r="F179" s="431"/>
      <c r="G179" s="431"/>
      <c r="H179" s="431"/>
      <c r="I179" s="431"/>
      <c r="J179" s="431"/>
      <c r="K179" s="431"/>
    </row>
    <row r="180" spans="1:11" ht="16.5">
      <c r="A180" s="454"/>
      <c r="B180" s="455"/>
      <c r="C180" s="455"/>
      <c r="D180" s="430"/>
      <c r="E180" s="430"/>
      <c r="F180" s="431"/>
      <c r="G180" s="431"/>
      <c r="H180" s="431"/>
      <c r="I180" s="431"/>
      <c r="J180" s="431"/>
      <c r="K180" s="431"/>
    </row>
    <row r="181" spans="1:11" ht="16.5">
      <c r="A181" s="454"/>
      <c r="B181" s="455"/>
      <c r="C181" s="455"/>
      <c r="D181" s="430"/>
      <c r="E181" s="430"/>
      <c r="F181" s="431"/>
      <c r="G181" s="431"/>
      <c r="H181" s="431"/>
      <c r="I181" s="431"/>
      <c r="J181" s="431"/>
      <c r="K181" s="431"/>
    </row>
    <row r="182" spans="1:11" ht="16.5">
      <c r="A182" s="454"/>
      <c r="B182" s="455"/>
      <c r="C182" s="455"/>
      <c r="D182" s="430"/>
      <c r="E182" s="430"/>
      <c r="F182" s="431"/>
      <c r="G182" s="431"/>
      <c r="H182" s="431"/>
      <c r="I182" s="431"/>
      <c r="J182" s="431"/>
      <c r="K182" s="431"/>
    </row>
    <row r="183" spans="1:11" ht="16.5">
      <c r="A183" s="454"/>
      <c r="B183" s="455"/>
      <c r="C183" s="455"/>
      <c r="D183" s="430"/>
      <c r="E183" s="430"/>
      <c r="F183" s="431"/>
      <c r="G183" s="431"/>
      <c r="H183" s="431"/>
      <c r="I183" s="431"/>
      <c r="J183" s="431"/>
      <c r="K183" s="431"/>
    </row>
    <row r="184" spans="1:11" ht="16.5">
      <c r="A184" s="454"/>
      <c r="B184" s="455"/>
      <c r="C184" s="455"/>
      <c r="D184" s="430"/>
      <c r="E184" s="430"/>
      <c r="F184" s="431"/>
      <c r="G184" s="431"/>
      <c r="H184" s="431"/>
      <c r="I184" s="431"/>
      <c r="J184" s="431"/>
      <c r="K184" s="431"/>
    </row>
    <row r="185" spans="1:11" ht="16.5">
      <c r="A185" s="454"/>
      <c r="B185" s="455"/>
      <c r="C185" s="455"/>
      <c r="D185" s="430"/>
      <c r="E185" s="430"/>
      <c r="F185" s="431"/>
      <c r="G185" s="431"/>
      <c r="H185" s="431"/>
      <c r="I185" s="431"/>
      <c r="J185" s="431"/>
      <c r="K185" s="431"/>
    </row>
    <row r="186" spans="1:11" ht="16.5">
      <c r="A186" s="454"/>
      <c r="B186" s="455"/>
      <c r="C186" s="455"/>
      <c r="D186" s="430"/>
      <c r="E186" s="430"/>
      <c r="F186" s="431"/>
      <c r="G186" s="431"/>
      <c r="H186" s="431"/>
      <c r="I186" s="431"/>
      <c r="J186" s="431"/>
      <c r="K186" s="431"/>
    </row>
    <row r="187" spans="1:11" ht="16.5">
      <c r="A187" s="454"/>
      <c r="B187" s="455"/>
      <c r="C187" s="455"/>
      <c r="D187" s="430"/>
      <c r="E187" s="430"/>
      <c r="F187" s="431"/>
      <c r="G187" s="431"/>
      <c r="H187" s="431"/>
      <c r="I187" s="431"/>
      <c r="J187" s="431"/>
      <c r="K187" s="431"/>
    </row>
    <row r="188" spans="1:11" ht="16.5">
      <c r="A188" s="454"/>
      <c r="B188" s="455"/>
      <c r="C188" s="455"/>
      <c r="D188" s="430"/>
      <c r="E188" s="430"/>
      <c r="F188" s="431"/>
      <c r="G188" s="431"/>
      <c r="H188" s="431"/>
      <c r="I188" s="431"/>
      <c r="J188" s="431"/>
      <c r="K188" s="431"/>
    </row>
    <row r="189" spans="1:11" ht="16.5">
      <c r="A189" s="454"/>
      <c r="B189" s="455"/>
      <c r="C189" s="455"/>
      <c r="D189" s="430"/>
      <c r="E189" s="430"/>
      <c r="F189" s="431"/>
      <c r="G189" s="431"/>
      <c r="H189" s="431"/>
      <c r="I189" s="431"/>
      <c r="J189" s="431"/>
      <c r="K189" s="431"/>
    </row>
    <row r="190" spans="1:11" ht="16.5">
      <c r="A190" s="454"/>
      <c r="B190" s="455"/>
      <c r="C190" s="455"/>
      <c r="D190" s="430"/>
      <c r="E190" s="430"/>
      <c r="F190" s="431"/>
      <c r="G190" s="431"/>
      <c r="H190" s="431"/>
      <c r="I190" s="431"/>
      <c r="J190" s="431"/>
      <c r="K190" s="431"/>
    </row>
    <row r="191" spans="1:11" ht="16.5">
      <c r="A191" s="454"/>
      <c r="B191" s="455"/>
      <c r="C191" s="455"/>
      <c r="D191" s="430"/>
      <c r="E191" s="430"/>
      <c r="F191" s="431"/>
      <c r="G191" s="431"/>
      <c r="H191" s="431"/>
      <c r="I191" s="431"/>
      <c r="J191" s="431"/>
      <c r="K191" s="431"/>
    </row>
    <row r="192" spans="1:11" ht="16.5">
      <c r="A192" s="454"/>
      <c r="B192" s="455"/>
      <c r="C192" s="455"/>
      <c r="D192" s="430"/>
      <c r="E192" s="430"/>
      <c r="F192" s="431"/>
      <c r="G192" s="431"/>
      <c r="H192" s="431"/>
      <c r="I192" s="431"/>
      <c r="J192" s="431"/>
      <c r="K192" s="431"/>
    </row>
    <row r="193" spans="1:11" ht="16.5">
      <c r="A193" s="454"/>
      <c r="B193" s="455"/>
      <c r="C193" s="455"/>
      <c r="D193" s="430"/>
      <c r="E193" s="430"/>
      <c r="F193" s="431"/>
      <c r="G193" s="431"/>
      <c r="H193" s="431"/>
      <c r="I193" s="431"/>
      <c r="J193" s="431"/>
      <c r="K193" s="431"/>
    </row>
    <row r="194" spans="1:11" ht="16.5">
      <c r="A194" s="454"/>
      <c r="B194" s="455"/>
      <c r="C194" s="455"/>
      <c r="D194" s="430"/>
      <c r="E194" s="430"/>
      <c r="F194" s="431"/>
      <c r="G194" s="431"/>
      <c r="H194" s="431"/>
      <c r="I194" s="431"/>
      <c r="J194" s="431"/>
      <c r="K194" s="431"/>
    </row>
    <row r="195" spans="1:11" ht="16.5">
      <c r="A195" s="454"/>
      <c r="B195" s="455"/>
      <c r="C195" s="455"/>
      <c r="D195" s="430"/>
      <c r="E195" s="430"/>
      <c r="F195" s="431"/>
      <c r="G195" s="431"/>
      <c r="H195" s="431"/>
      <c r="I195" s="431"/>
      <c r="J195" s="431"/>
      <c r="K195" s="431"/>
    </row>
    <row r="196" spans="1:11" ht="16.5">
      <c r="A196" s="454"/>
      <c r="B196" s="455"/>
      <c r="C196" s="455"/>
      <c r="D196" s="430"/>
      <c r="E196" s="430"/>
      <c r="F196" s="431"/>
      <c r="G196" s="431"/>
      <c r="H196" s="431"/>
      <c r="I196" s="431"/>
      <c r="J196" s="431"/>
      <c r="K196" s="431"/>
    </row>
    <row r="197" spans="1:11" ht="16.5">
      <c r="A197" s="454"/>
      <c r="B197" s="455"/>
      <c r="C197" s="455"/>
      <c r="D197" s="430"/>
      <c r="E197" s="430"/>
      <c r="F197" s="431"/>
      <c r="G197" s="431"/>
      <c r="H197" s="431"/>
      <c r="I197" s="431"/>
      <c r="J197" s="431"/>
      <c r="K197" s="431"/>
    </row>
    <row r="198" spans="1:11" ht="16.5">
      <c r="A198" s="454"/>
      <c r="B198" s="455"/>
      <c r="C198" s="455"/>
      <c r="D198" s="430"/>
      <c r="E198" s="430"/>
      <c r="F198" s="431"/>
      <c r="G198" s="431"/>
      <c r="H198" s="431"/>
      <c r="I198" s="431"/>
      <c r="J198" s="431"/>
      <c r="K198" s="431"/>
    </row>
    <row r="199" spans="1:11" ht="16.5">
      <c r="A199" s="454"/>
      <c r="B199" s="455"/>
      <c r="C199" s="455"/>
      <c r="D199" s="430"/>
      <c r="E199" s="430"/>
      <c r="F199" s="431"/>
      <c r="G199" s="431"/>
      <c r="H199" s="431"/>
      <c r="I199" s="431"/>
      <c r="J199" s="431"/>
      <c r="K199" s="431"/>
    </row>
    <row r="200" spans="1:11" ht="16.5">
      <c r="A200" s="454"/>
      <c r="B200" s="455"/>
      <c r="C200" s="455"/>
      <c r="D200" s="430"/>
      <c r="E200" s="430"/>
      <c r="F200" s="431"/>
      <c r="G200" s="431"/>
      <c r="H200" s="431"/>
      <c r="I200" s="431"/>
      <c r="J200" s="431"/>
      <c r="K200" s="431"/>
    </row>
    <row r="201" spans="1:11" ht="16.5">
      <c r="A201" s="454"/>
      <c r="B201" s="455"/>
      <c r="C201" s="455"/>
      <c r="D201" s="430"/>
      <c r="E201" s="430"/>
      <c r="F201" s="431"/>
      <c r="G201" s="431"/>
      <c r="H201" s="431"/>
      <c r="I201" s="431"/>
      <c r="J201" s="431"/>
      <c r="K201" s="431"/>
    </row>
    <row r="202" spans="1:11" ht="16.5">
      <c r="A202" s="454"/>
      <c r="B202" s="455"/>
      <c r="C202" s="455"/>
      <c r="D202" s="430"/>
      <c r="E202" s="430"/>
      <c r="F202" s="431"/>
      <c r="G202" s="431"/>
      <c r="H202" s="431"/>
      <c r="I202" s="431"/>
      <c r="J202" s="431"/>
      <c r="K202" s="431"/>
    </row>
    <row r="203" spans="1:11" ht="16.5">
      <c r="A203" s="454"/>
      <c r="B203" s="455"/>
      <c r="C203" s="455"/>
      <c r="D203" s="430"/>
      <c r="E203" s="430"/>
      <c r="F203" s="431"/>
      <c r="G203" s="431"/>
      <c r="H203" s="431"/>
      <c r="I203" s="431"/>
      <c r="J203" s="431"/>
      <c r="K203" s="431"/>
    </row>
    <row r="204" spans="1:11" ht="16.5">
      <c r="A204" s="454"/>
      <c r="B204" s="455"/>
      <c r="C204" s="455"/>
      <c r="D204" s="430"/>
      <c r="E204" s="430"/>
      <c r="F204" s="431"/>
      <c r="G204" s="431"/>
      <c r="H204" s="431"/>
      <c r="I204" s="431"/>
      <c r="J204" s="431"/>
      <c r="K204" s="431"/>
    </row>
    <row r="205" spans="1:11" ht="16.5">
      <c r="A205" s="454"/>
      <c r="B205" s="455"/>
      <c r="C205" s="455"/>
      <c r="D205" s="430"/>
      <c r="E205" s="430"/>
      <c r="F205" s="431"/>
      <c r="G205" s="431"/>
      <c r="H205" s="431"/>
      <c r="I205" s="431"/>
      <c r="J205" s="431"/>
      <c r="K205" s="431"/>
    </row>
    <row r="206" spans="1:11" ht="16.5">
      <c r="A206" s="454"/>
      <c r="B206" s="455"/>
      <c r="C206" s="455"/>
      <c r="D206" s="430"/>
      <c r="E206" s="430"/>
      <c r="F206" s="431"/>
      <c r="G206" s="431"/>
      <c r="H206" s="431"/>
      <c r="I206" s="431"/>
      <c r="J206" s="431"/>
      <c r="K206" s="431"/>
    </row>
    <row r="207" spans="1:11" ht="16.5">
      <c r="A207" s="454"/>
      <c r="B207" s="455"/>
      <c r="C207" s="455"/>
      <c r="D207" s="430"/>
      <c r="E207" s="430"/>
      <c r="F207" s="431"/>
      <c r="G207" s="431"/>
      <c r="H207" s="431"/>
      <c r="I207" s="431"/>
      <c r="J207" s="431"/>
      <c r="K207" s="431"/>
    </row>
    <row r="208" spans="1:11" ht="16.5">
      <c r="A208" s="454"/>
      <c r="B208" s="455"/>
      <c r="C208" s="455"/>
      <c r="D208" s="430"/>
      <c r="E208" s="430"/>
      <c r="F208" s="431"/>
      <c r="G208" s="431"/>
      <c r="H208" s="431"/>
      <c r="I208" s="431"/>
      <c r="J208" s="431"/>
      <c r="K208" s="431"/>
    </row>
    <row r="209" spans="1:11" ht="16.5">
      <c r="A209" s="454"/>
      <c r="B209" s="455"/>
      <c r="C209" s="455"/>
      <c r="D209" s="430"/>
      <c r="E209" s="430"/>
      <c r="F209" s="431"/>
      <c r="G209" s="431"/>
      <c r="H209" s="431"/>
      <c r="I209" s="431"/>
      <c r="J209" s="431"/>
      <c r="K209" s="431"/>
    </row>
    <row r="210" spans="1:11" ht="16.5">
      <c r="A210" s="454"/>
      <c r="B210" s="455"/>
      <c r="C210" s="455"/>
      <c r="D210" s="430"/>
      <c r="E210" s="430"/>
      <c r="F210" s="431"/>
      <c r="G210" s="431"/>
      <c r="H210" s="431"/>
      <c r="I210" s="431"/>
      <c r="J210" s="431"/>
      <c r="K210" s="431"/>
    </row>
    <row r="211" spans="1:11" ht="16.5">
      <c r="A211" s="454"/>
      <c r="B211" s="455"/>
      <c r="C211" s="455"/>
      <c r="D211" s="430"/>
      <c r="E211" s="430"/>
      <c r="F211" s="431"/>
      <c r="G211" s="431"/>
      <c r="H211" s="431"/>
      <c r="I211" s="431"/>
      <c r="J211" s="431"/>
      <c r="K211" s="431"/>
    </row>
    <row r="212" spans="1:11" ht="16.5">
      <c r="A212" s="454"/>
      <c r="B212" s="455"/>
      <c r="C212" s="455"/>
      <c r="D212" s="430"/>
      <c r="E212" s="430"/>
      <c r="F212" s="431"/>
      <c r="G212" s="431"/>
      <c r="H212" s="431"/>
      <c r="I212" s="431"/>
      <c r="J212" s="431"/>
      <c r="K212" s="431"/>
    </row>
    <row r="213" spans="1:11" ht="16.5">
      <c r="A213" s="454"/>
      <c r="B213" s="455"/>
      <c r="C213" s="455"/>
      <c r="D213" s="430"/>
      <c r="E213" s="430"/>
      <c r="F213" s="431"/>
      <c r="G213" s="431"/>
      <c r="H213" s="431"/>
      <c r="I213" s="431"/>
      <c r="J213" s="431"/>
      <c r="K213" s="431"/>
    </row>
    <row r="214" spans="1:11" ht="16.5">
      <c r="A214" s="454"/>
      <c r="B214" s="455"/>
      <c r="C214" s="455"/>
      <c r="D214" s="430"/>
      <c r="E214" s="430"/>
      <c r="F214" s="431"/>
      <c r="G214" s="431"/>
      <c r="H214" s="431"/>
      <c r="I214" s="431"/>
      <c r="J214" s="431"/>
      <c r="K214" s="431"/>
    </row>
    <row r="215" spans="1:11" ht="16.5">
      <c r="A215" s="454"/>
      <c r="B215" s="455"/>
      <c r="C215" s="455"/>
      <c r="D215" s="430"/>
      <c r="E215" s="430"/>
      <c r="F215" s="431"/>
      <c r="G215" s="431"/>
      <c r="H215" s="431"/>
      <c r="I215" s="431"/>
      <c r="J215" s="431"/>
      <c r="K215" s="431"/>
    </row>
    <row r="216" spans="1:11" ht="16.5">
      <c r="A216" s="454"/>
      <c r="B216" s="455"/>
      <c r="C216" s="455"/>
      <c r="D216" s="430"/>
      <c r="E216" s="430"/>
      <c r="F216" s="431"/>
      <c r="G216" s="431"/>
      <c r="H216" s="431"/>
      <c r="I216" s="431"/>
      <c r="J216" s="431"/>
      <c r="K216" s="431"/>
    </row>
    <row r="217" spans="1:11" ht="16.5">
      <c r="A217" s="454"/>
      <c r="B217" s="455"/>
      <c r="C217" s="455"/>
      <c r="D217" s="430"/>
      <c r="E217" s="430"/>
      <c r="F217" s="431"/>
      <c r="G217" s="431"/>
      <c r="H217" s="431"/>
      <c r="I217" s="431"/>
      <c r="J217" s="431"/>
      <c r="K217" s="431"/>
    </row>
    <row r="218" spans="1:11" ht="16.5">
      <c r="A218" s="454"/>
      <c r="B218" s="455"/>
      <c r="C218" s="455"/>
      <c r="D218" s="430"/>
      <c r="E218" s="430"/>
      <c r="F218" s="431"/>
      <c r="G218" s="431"/>
      <c r="H218" s="431"/>
      <c r="I218" s="431"/>
      <c r="J218" s="431"/>
      <c r="K218" s="431"/>
    </row>
    <row r="219" spans="1:11" ht="16.5">
      <c r="A219" s="454"/>
      <c r="B219" s="455"/>
      <c r="C219" s="455"/>
      <c r="D219" s="430"/>
      <c r="E219" s="430"/>
      <c r="F219" s="431"/>
      <c r="G219" s="431"/>
      <c r="H219" s="431"/>
      <c r="I219" s="431"/>
      <c r="J219" s="431"/>
      <c r="K219" s="431"/>
    </row>
    <row r="220" spans="1:11" ht="16.5">
      <c r="A220" s="454"/>
      <c r="B220" s="455"/>
      <c r="C220" s="455"/>
      <c r="D220" s="430"/>
      <c r="E220" s="430"/>
      <c r="F220" s="431"/>
      <c r="G220" s="431"/>
      <c r="H220" s="431"/>
      <c r="I220" s="431"/>
      <c r="J220" s="431"/>
      <c r="K220" s="431"/>
    </row>
    <row r="221" spans="1:11" ht="16.5">
      <c r="A221" s="454"/>
      <c r="B221" s="455"/>
      <c r="C221" s="455"/>
      <c r="D221" s="430"/>
      <c r="E221" s="430"/>
      <c r="F221" s="431"/>
      <c r="G221" s="431"/>
      <c r="H221" s="431"/>
      <c r="I221" s="431"/>
      <c r="J221" s="431"/>
      <c r="K221" s="431"/>
    </row>
    <row r="222" spans="1:11" ht="16.5">
      <c r="A222" s="454"/>
      <c r="B222" s="455"/>
      <c r="C222" s="455"/>
      <c r="D222" s="430"/>
      <c r="E222" s="430"/>
      <c r="F222" s="431"/>
      <c r="G222" s="431"/>
      <c r="H222" s="431"/>
      <c r="I222" s="431"/>
      <c r="J222" s="431"/>
      <c r="K222" s="431"/>
    </row>
    <row r="223" spans="1:11" ht="16.5">
      <c r="A223" s="454"/>
      <c r="B223" s="455"/>
      <c r="C223" s="455"/>
      <c r="D223" s="430"/>
      <c r="E223" s="430"/>
      <c r="F223" s="431"/>
      <c r="G223" s="431"/>
      <c r="H223" s="431"/>
      <c r="I223" s="431"/>
      <c r="J223" s="431"/>
      <c r="K223" s="431"/>
    </row>
    <row r="224" spans="1:11" ht="16.5">
      <c r="A224" s="454"/>
      <c r="B224" s="455"/>
      <c r="C224" s="455"/>
      <c r="D224" s="430"/>
      <c r="E224" s="430"/>
      <c r="F224" s="431"/>
      <c r="G224" s="431"/>
      <c r="H224" s="431"/>
      <c r="I224" s="431"/>
      <c r="J224" s="431"/>
      <c r="K224" s="431"/>
    </row>
    <row r="225" spans="1:11" ht="16.5">
      <c r="A225" s="454"/>
      <c r="B225" s="455"/>
      <c r="C225" s="455"/>
      <c r="D225" s="430"/>
      <c r="E225" s="430"/>
      <c r="F225" s="431"/>
      <c r="G225" s="431"/>
      <c r="H225" s="431"/>
      <c r="I225" s="431"/>
      <c r="J225" s="431"/>
      <c r="K225" s="431"/>
    </row>
    <row r="226" spans="1:11" ht="16.5">
      <c r="A226" s="454"/>
      <c r="B226" s="455"/>
      <c r="C226" s="455"/>
      <c r="D226" s="430"/>
      <c r="E226" s="430"/>
      <c r="F226" s="431"/>
      <c r="G226" s="431"/>
      <c r="H226" s="431"/>
      <c r="I226" s="431"/>
      <c r="J226" s="431"/>
      <c r="K226" s="431"/>
    </row>
    <row r="227" spans="1:11" ht="16.5">
      <c r="A227" s="454"/>
      <c r="B227" s="455"/>
      <c r="C227" s="455"/>
      <c r="D227" s="430"/>
      <c r="E227" s="430"/>
      <c r="F227" s="431"/>
      <c r="G227" s="431"/>
      <c r="H227" s="431"/>
      <c r="I227" s="431"/>
      <c r="J227" s="431"/>
      <c r="K227" s="431"/>
    </row>
    <row r="228" spans="1:11" ht="16.5">
      <c r="A228" s="454"/>
      <c r="B228" s="455"/>
      <c r="C228" s="455"/>
      <c r="D228" s="430"/>
      <c r="E228" s="430"/>
      <c r="F228" s="431"/>
      <c r="G228" s="431"/>
      <c r="H228" s="431"/>
      <c r="I228" s="431"/>
      <c r="J228" s="431"/>
      <c r="K228" s="431"/>
    </row>
    <row r="229" spans="1:11" ht="16.5">
      <c r="A229" s="454"/>
      <c r="B229" s="455"/>
      <c r="C229" s="455"/>
      <c r="D229" s="430"/>
      <c r="E229" s="430"/>
      <c r="F229" s="431"/>
      <c r="G229" s="431"/>
      <c r="H229" s="431"/>
      <c r="I229" s="431"/>
      <c r="J229" s="431"/>
      <c r="K229" s="431"/>
    </row>
    <row r="230" spans="1:11" ht="16.5">
      <c r="A230" s="454"/>
      <c r="B230" s="455"/>
      <c r="C230" s="455"/>
      <c r="D230" s="430"/>
      <c r="E230" s="430"/>
      <c r="F230" s="431"/>
      <c r="G230" s="431"/>
      <c r="H230" s="431"/>
      <c r="I230" s="431"/>
      <c r="J230" s="431"/>
      <c r="K230" s="431"/>
    </row>
    <row r="231" spans="1:11" ht="16.5">
      <c r="A231" s="454"/>
      <c r="B231" s="455"/>
      <c r="C231" s="455"/>
      <c r="D231" s="430"/>
      <c r="E231" s="430"/>
      <c r="F231" s="431"/>
      <c r="G231" s="431"/>
      <c r="H231" s="431"/>
      <c r="I231" s="431"/>
      <c r="J231" s="431"/>
      <c r="K231" s="431"/>
    </row>
    <row r="232" spans="1:11" ht="16.5">
      <c r="A232" s="454"/>
      <c r="B232" s="455"/>
      <c r="C232" s="455"/>
      <c r="D232" s="430"/>
      <c r="E232" s="430"/>
      <c r="F232" s="431"/>
      <c r="G232" s="431"/>
      <c r="H232" s="431"/>
      <c r="I232" s="431"/>
      <c r="J232" s="431"/>
      <c r="K232" s="431"/>
    </row>
    <row r="233" spans="1:11" ht="16.5">
      <c r="A233" s="454"/>
      <c r="B233" s="455"/>
      <c r="C233" s="455"/>
      <c r="D233" s="430"/>
      <c r="E233" s="430"/>
      <c r="F233" s="431"/>
      <c r="G233" s="431"/>
      <c r="H233" s="431"/>
      <c r="I233" s="431"/>
      <c r="J233" s="431"/>
      <c r="K233" s="431"/>
    </row>
    <row r="234" spans="1:11" ht="16.5">
      <c r="A234" s="454"/>
      <c r="B234" s="455"/>
      <c r="C234" s="455"/>
      <c r="D234" s="430"/>
      <c r="E234" s="430"/>
      <c r="F234" s="431"/>
      <c r="G234" s="431"/>
      <c r="H234" s="431"/>
      <c r="I234" s="431"/>
      <c r="J234" s="431"/>
      <c r="K234" s="431"/>
    </row>
    <row r="235" spans="1:11" ht="16.5">
      <c r="A235" s="454"/>
      <c r="B235" s="455"/>
      <c r="C235" s="455"/>
      <c r="D235" s="430"/>
      <c r="E235" s="430"/>
      <c r="F235" s="431"/>
      <c r="G235" s="431"/>
      <c r="H235" s="431"/>
      <c r="I235" s="431"/>
      <c r="J235" s="431"/>
      <c r="K235" s="431"/>
    </row>
    <row r="236" spans="1:11" ht="16.5">
      <c r="A236" s="454"/>
      <c r="B236" s="455"/>
      <c r="C236" s="455"/>
      <c r="D236" s="430"/>
      <c r="E236" s="430"/>
      <c r="F236" s="431"/>
      <c r="G236" s="431"/>
      <c r="H236" s="431"/>
      <c r="I236" s="431"/>
      <c r="J236" s="431"/>
      <c r="K236" s="431"/>
    </row>
    <row r="237" spans="1:11" ht="16.5">
      <c r="A237" s="454"/>
      <c r="B237" s="455"/>
      <c r="C237" s="455"/>
      <c r="D237" s="430"/>
      <c r="E237" s="430"/>
      <c r="F237" s="431"/>
      <c r="G237" s="431"/>
      <c r="H237" s="431"/>
      <c r="I237" s="431"/>
      <c r="J237" s="431"/>
      <c r="K237" s="431"/>
    </row>
    <row r="238" spans="1:11" ht="16.5">
      <c r="A238" s="454"/>
      <c r="B238" s="455"/>
      <c r="C238" s="455"/>
      <c r="D238" s="430"/>
      <c r="E238" s="430"/>
      <c r="F238" s="431"/>
      <c r="G238" s="431"/>
      <c r="H238" s="431"/>
      <c r="I238" s="431"/>
      <c r="J238" s="431"/>
      <c r="K238" s="431"/>
    </row>
    <row r="239" spans="1:11" ht="16.5">
      <c r="A239" s="454"/>
      <c r="B239" s="455"/>
      <c r="C239" s="455"/>
      <c r="D239" s="430"/>
      <c r="E239" s="430"/>
      <c r="F239" s="431"/>
      <c r="G239" s="431"/>
      <c r="H239" s="431"/>
      <c r="I239" s="431"/>
      <c r="J239" s="431"/>
      <c r="K239" s="431"/>
    </row>
    <row r="240" spans="1:11" ht="16.5">
      <c r="A240" s="454"/>
      <c r="B240" s="455"/>
      <c r="C240" s="455"/>
      <c r="D240" s="430"/>
      <c r="E240" s="430"/>
      <c r="F240" s="431"/>
      <c r="G240" s="431"/>
      <c r="H240" s="431"/>
      <c r="I240" s="431"/>
      <c r="J240" s="431"/>
      <c r="K240" s="431"/>
    </row>
    <row r="241" spans="1:11" ht="16.5">
      <c r="A241" s="454"/>
      <c r="B241" s="455"/>
      <c r="C241" s="455"/>
      <c r="D241" s="430"/>
      <c r="E241" s="430"/>
      <c r="F241" s="431"/>
      <c r="G241" s="431"/>
      <c r="H241" s="431"/>
      <c r="I241" s="431"/>
      <c r="J241" s="431"/>
      <c r="K241" s="431"/>
    </row>
    <row r="242" spans="1:11" ht="16.5">
      <c r="A242" s="454"/>
      <c r="B242" s="455"/>
      <c r="C242" s="455"/>
      <c r="D242" s="430"/>
      <c r="E242" s="430"/>
      <c r="F242" s="431"/>
      <c r="G242" s="431"/>
      <c r="H242" s="431"/>
      <c r="I242" s="431"/>
      <c r="J242" s="431"/>
      <c r="K242" s="431"/>
    </row>
    <row r="243" spans="1:11" ht="16.5">
      <c r="A243" s="454"/>
      <c r="B243" s="455"/>
      <c r="C243" s="455"/>
      <c r="D243" s="430"/>
      <c r="E243" s="430"/>
      <c r="F243" s="431"/>
      <c r="G243" s="431"/>
      <c r="H243" s="431"/>
      <c r="I243" s="431"/>
      <c r="J243" s="431"/>
      <c r="K243" s="431"/>
    </row>
    <row r="244" spans="1:11" ht="16.5">
      <c r="A244" s="454"/>
      <c r="B244" s="455"/>
      <c r="C244" s="455"/>
      <c r="D244" s="430"/>
      <c r="E244" s="430"/>
      <c r="F244" s="431"/>
      <c r="G244" s="431"/>
      <c r="H244" s="431"/>
      <c r="I244" s="431"/>
      <c r="J244" s="431"/>
      <c r="K244" s="431"/>
    </row>
  </sheetData>
  <sheetProtection/>
  <mergeCells count="4">
    <mergeCell ref="J1:K1"/>
    <mergeCell ref="L8:L15"/>
    <mergeCell ref="A3:K3"/>
    <mergeCell ref="B2:K2"/>
  </mergeCells>
  <printOptions horizontalCentered="1"/>
  <pageMargins left="0.65" right="0.47244094488189" top="0.78" bottom="0.905511811023622" header="0.42" footer="0.590551181102362"/>
  <pageSetup fitToHeight="0" fitToWidth="1" horizontalDpi="600" verticalDpi="600" orientation="landscape" paperSize="9" scale="79" r:id="rId1"/>
  <headerFooter alignWithMargins="0">
    <oddFooter>&amp;R&amp;"Times New Roman,Regular"&amp;12&amp;P/&amp;N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5"/>
  <sheetViews>
    <sheetView view="pageBreakPreview" zoomScale="85" zoomScaleNormal="70" zoomScaleSheetLayoutView="85" zoomScalePageLayoutView="0" workbookViewId="0" topLeftCell="A10">
      <selection activeCell="J10" sqref="J10"/>
    </sheetView>
  </sheetViews>
  <sheetFormatPr defaultColWidth="9.140625" defaultRowHeight="12.75"/>
  <cols>
    <col min="1" max="1" width="5.8515625" style="461" customWidth="1"/>
    <col min="2" max="2" width="38.57421875" style="422" customWidth="1"/>
    <col min="3" max="3" width="14.57421875" style="423" customWidth="1"/>
    <col min="4" max="5" width="16.00390625" style="423" customWidth="1"/>
    <col min="6" max="6" width="15.00390625" style="1042" customWidth="1"/>
    <col min="7" max="7" width="15.28125" style="421" customWidth="1"/>
    <col min="8" max="8" width="13.421875" style="421" customWidth="1"/>
    <col min="9" max="9" width="14.57421875" style="421" customWidth="1"/>
    <col min="10" max="10" width="15.00390625" style="421" customWidth="1"/>
    <col min="11" max="11" width="20.57421875" style="421" customWidth="1"/>
    <col min="12" max="12" width="8.421875" style="421" customWidth="1"/>
    <col min="13" max="16" width="9.140625" style="421" hidden="1" customWidth="1"/>
    <col min="17" max="17" width="10.8515625" style="421" hidden="1" customWidth="1"/>
    <col min="18" max="18" width="24.8515625" style="421" customWidth="1"/>
    <col min="19" max="22" width="14.00390625" style="421" customWidth="1"/>
    <col min="23" max="26" width="9.140625" style="421" customWidth="1"/>
    <col min="27" max="27" width="9.28125" style="421" customWidth="1"/>
    <col min="28" max="16384" width="9.140625" style="421" customWidth="1"/>
  </cols>
  <sheetData>
    <row r="1" spans="2:11" s="908" customFormat="1" ht="36.75" customHeight="1">
      <c r="B1" s="856" t="s">
        <v>510</v>
      </c>
      <c r="C1" s="909"/>
      <c r="D1" s="909"/>
      <c r="E1" s="909"/>
      <c r="I1" s="917" t="s">
        <v>342</v>
      </c>
      <c r="J1" s="1213" t="s">
        <v>331</v>
      </c>
      <c r="K1" s="1213"/>
    </row>
    <row r="2" spans="1:11" ht="28.5" customHeight="1">
      <c r="A2" s="421"/>
      <c r="B2" s="1198" t="s">
        <v>482</v>
      </c>
      <c r="C2" s="1198"/>
      <c r="D2" s="1198"/>
      <c r="E2" s="1198"/>
      <c r="F2" s="1198"/>
      <c r="G2" s="1198"/>
      <c r="H2" s="1198"/>
      <c r="I2" s="1198"/>
      <c r="J2" s="1198"/>
      <c r="K2" s="1198"/>
    </row>
    <row r="3" spans="1:11" ht="25.5" customHeight="1">
      <c r="A3" s="1214" t="s">
        <v>511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</row>
    <row r="4" spans="1:11" ht="16.5">
      <c r="A4" s="896"/>
      <c r="B4" s="897"/>
      <c r="C4" s="898"/>
      <c r="D4" s="898"/>
      <c r="E4" s="898"/>
      <c r="F4" s="431"/>
      <c r="G4" s="899"/>
      <c r="H4" s="899"/>
      <c r="I4" s="899"/>
      <c r="J4" s="899"/>
      <c r="K4" s="899"/>
    </row>
    <row r="5" spans="1:11" s="434" customFormat="1" ht="51" customHeight="1">
      <c r="A5" s="432" t="s">
        <v>0</v>
      </c>
      <c r="B5" s="432" t="s">
        <v>287</v>
      </c>
      <c r="C5" s="432" t="s">
        <v>184</v>
      </c>
      <c r="D5" s="433" t="s">
        <v>365</v>
      </c>
      <c r="E5" s="433" t="s">
        <v>144</v>
      </c>
      <c r="F5" s="433" t="s">
        <v>333</v>
      </c>
      <c r="G5" s="433" t="s">
        <v>334</v>
      </c>
      <c r="H5" s="433" t="s">
        <v>335</v>
      </c>
      <c r="I5" s="433" t="s">
        <v>336</v>
      </c>
      <c r="J5" s="433" t="s">
        <v>337</v>
      </c>
      <c r="K5" s="433" t="s">
        <v>338</v>
      </c>
    </row>
    <row r="6" spans="1:23" s="441" customFormat="1" ht="36.75" customHeight="1">
      <c r="A6" s="1110" t="s">
        <v>3</v>
      </c>
      <c r="B6" s="1111" t="s">
        <v>512</v>
      </c>
      <c r="C6" s="1112"/>
      <c r="D6" s="1113"/>
      <c r="E6" s="1113"/>
      <c r="F6" s="1114"/>
      <c r="G6" s="1115"/>
      <c r="H6" s="1115"/>
      <c r="I6" s="1115"/>
      <c r="J6" s="1115"/>
      <c r="K6" s="1116"/>
      <c r="L6" s="539"/>
      <c r="N6" s="538"/>
      <c r="O6" s="539"/>
      <c r="Q6" s="538"/>
      <c r="T6" s="538"/>
      <c r="U6" s="539"/>
      <c r="W6" s="538"/>
    </row>
    <row r="7" spans="1:23" ht="35.25" customHeight="1">
      <c r="A7" s="1117"/>
      <c r="B7" s="1118" t="s">
        <v>513</v>
      </c>
      <c r="C7" s="1119" t="s">
        <v>514</v>
      </c>
      <c r="D7" s="1120">
        <v>547378</v>
      </c>
      <c r="E7" s="1099">
        <v>547378</v>
      </c>
      <c r="F7" s="1121">
        <v>556616</v>
      </c>
      <c r="G7" s="1121">
        <v>565966</v>
      </c>
      <c r="H7" s="1121">
        <v>575366</v>
      </c>
      <c r="I7" s="1121">
        <v>584816</v>
      </c>
      <c r="J7" s="1121">
        <v>594366</v>
      </c>
      <c r="K7" s="1122" t="s">
        <v>721</v>
      </c>
      <c r="L7" s="447"/>
      <c r="N7" s="449"/>
      <c r="O7" s="447"/>
      <c r="Q7" s="449"/>
      <c r="R7" s="441"/>
      <c r="T7" s="449"/>
      <c r="U7" s="447"/>
      <c r="W7" s="449"/>
    </row>
    <row r="8" spans="1:23" s="624" customFormat="1" ht="29.25" customHeight="1">
      <c r="A8" s="1123"/>
      <c r="B8" s="1124" t="s">
        <v>515</v>
      </c>
      <c r="C8" s="1125" t="str">
        <f>C7</f>
        <v>Người</v>
      </c>
      <c r="D8" s="1120">
        <f>84.9106/100*D7</f>
        <v>464781.944068</v>
      </c>
      <c r="E8" s="1120">
        <f aca="true" t="shared" si="0" ref="E8:J8">84.9106/100*E7</f>
        <v>464781.944068</v>
      </c>
      <c r="F8" s="1120">
        <f t="shared" si="0"/>
        <v>472625.985296</v>
      </c>
      <c r="G8" s="1120">
        <f t="shared" si="0"/>
        <v>480565.12639600004</v>
      </c>
      <c r="H8" s="1120">
        <f t="shared" si="0"/>
        <v>488546.722796</v>
      </c>
      <c r="I8" s="1120">
        <f t="shared" si="0"/>
        <v>496570.774496</v>
      </c>
      <c r="J8" s="1120">
        <f t="shared" si="0"/>
        <v>504679.73679600004</v>
      </c>
      <c r="K8" s="1120">
        <v>504860</v>
      </c>
      <c r="L8" s="623"/>
      <c r="N8" s="625"/>
      <c r="O8" s="623"/>
      <c r="Q8" s="625"/>
      <c r="R8" s="441"/>
      <c r="S8" s="626"/>
      <c r="T8" s="627"/>
      <c r="U8" s="628"/>
      <c r="V8" s="626"/>
      <c r="W8" s="625"/>
    </row>
    <row r="9" spans="1:18" s="624" customFormat="1" ht="33" customHeight="1">
      <c r="A9" s="1123"/>
      <c r="B9" s="1126" t="s">
        <v>516</v>
      </c>
      <c r="C9" s="1127" t="s">
        <v>727</v>
      </c>
      <c r="D9" s="1128">
        <v>0.16</v>
      </c>
      <c r="E9" s="1129">
        <v>0.4</v>
      </c>
      <c r="F9" s="1130">
        <v>0.5</v>
      </c>
      <c r="G9" s="1130">
        <v>0.75</v>
      </c>
      <c r="H9" s="1130">
        <v>0.75</v>
      </c>
      <c r="I9" s="1130">
        <v>0.75</v>
      </c>
      <c r="J9" s="1130">
        <v>0.7</v>
      </c>
      <c r="K9" s="1131">
        <f>(F9+G9+H9+I9+J9)/5</f>
        <v>0.6900000000000001</v>
      </c>
      <c r="R9" s="441"/>
    </row>
    <row r="10" spans="1:18" s="624" customFormat="1" ht="39" customHeight="1">
      <c r="A10" s="1123"/>
      <c r="B10" s="1132" t="s">
        <v>723</v>
      </c>
      <c r="C10" s="1127" t="s">
        <v>308</v>
      </c>
      <c r="D10" s="1133">
        <v>1.73</v>
      </c>
      <c r="E10" s="1130">
        <v>1.73</v>
      </c>
      <c r="F10" s="1130">
        <f>(F7-D7)/D7*100</f>
        <v>1.6876820040264682</v>
      </c>
      <c r="G10" s="1130">
        <f>(G7-F7)/F7*100</f>
        <v>1.6797936099573134</v>
      </c>
      <c r="H10" s="1130">
        <f>(H7-G7)/G7*100</f>
        <v>1.6608771551647978</v>
      </c>
      <c r="I10" s="1130">
        <f>(I7-H7)/H7*100</f>
        <v>1.6424328166766893</v>
      </c>
      <c r="J10" s="1130">
        <f>(J7-I7)/I7*100</f>
        <v>1.6329922573937787</v>
      </c>
      <c r="K10" s="1131">
        <v>1.63</v>
      </c>
      <c r="R10" s="441"/>
    </row>
    <row r="11" spans="1:27" s="441" customFormat="1" ht="32.25" customHeight="1">
      <c r="A11" s="1110" t="s">
        <v>11</v>
      </c>
      <c r="B11" s="1134" t="s">
        <v>517</v>
      </c>
      <c r="C11" s="1112"/>
      <c r="D11" s="1051"/>
      <c r="E11" s="1135"/>
      <c r="F11" s="1051"/>
      <c r="G11" s="1051"/>
      <c r="H11" s="1051"/>
      <c r="I11" s="1051"/>
      <c r="J11" s="1051"/>
      <c r="K11" s="1110"/>
      <c r="V11" s="441">
        <v>2015</v>
      </c>
      <c r="AA11" s="441">
        <v>2020</v>
      </c>
    </row>
    <row r="12" spans="1:33" ht="36.75" customHeight="1">
      <c r="A12" s="1117">
        <v>1</v>
      </c>
      <c r="B12" s="1136" t="s">
        <v>518</v>
      </c>
      <c r="C12" s="1119" t="str">
        <f>C8</f>
        <v>Người</v>
      </c>
      <c r="D12" s="1121">
        <v>302203</v>
      </c>
      <c r="E12" s="1121">
        <v>302203</v>
      </c>
      <c r="F12" s="1094">
        <v>307303</v>
      </c>
      <c r="G12" s="1094">
        <v>312465</v>
      </c>
      <c r="H12" s="1094">
        <v>317655</v>
      </c>
      <c r="I12" s="1094">
        <v>322872</v>
      </c>
      <c r="J12" s="1094">
        <v>325997</v>
      </c>
      <c r="K12" s="1094">
        <v>325997</v>
      </c>
      <c r="R12" s="441"/>
      <c r="U12" s="421">
        <v>23.8</v>
      </c>
      <c r="V12" s="421">
        <f aca="true" t="shared" si="1" ref="V12:AA12">U12-0.6</f>
        <v>23.2</v>
      </c>
      <c r="W12" s="421">
        <f t="shared" si="1"/>
        <v>22.599999999999998</v>
      </c>
      <c r="X12" s="421">
        <f t="shared" si="1"/>
        <v>21.999999999999996</v>
      </c>
      <c r="Y12" s="421">
        <f t="shared" si="1"/>
        <v>21.399999999999995</v>
      </c>
      <c r="Z12" s="421">
        <f t="shared" si="1"/>
        <v>20.799999999999994</v>
      </c>
      <c r="AA12" s="421">
        <f t="shared" si="1"/>
        <v>20.199999999999992</v>
      </c>
      <c r="AB12" s="421">
        <f aca="true" t="shared" si="2" ref="AB12:AG12">AA12-0.5</f>
        <v>19.699999999999992</v>
      </c>
      <c r="AC12" s="421">
        <f t="shared" si="2"/>
        <v>19.199999999999992</v>
      </c>
      <c r="AD12" s="421">
        <f t="shared" si="2"/>
        <v>18.699999999999992</v>
      </c>
      <c r="AE12" s="421">
        <f t="shared" si="2"/>
        <v>18.199999999999992</v>
      </c>
      <c r="AF12" s="421">
        <f t="shared" si="2"/>
        <v>17.699999999999992</v>
      </c>
      <c r="AG12" s="421">
        <f t="shared" si="2"/>
        <v>17.199999999999992</v>
      </c>
    </row>
    <row r="13" spans="1:27" ht="44.25" customHeight="1">
      <c r="A13" s="1117">
        <v>2</v>
      </c>
      <c r="B13" s="1136" t="s">
        <v>519</v>
      </c>
      <c r="C13" s="1119" t="str">
        <f>C12</f>
        <v>Người</v>
      </c>
      <c r="D13" s="1121">
        <v>300297</v>
      </c>
      <c r="E13" s="1121">
        <v>300297</v>
      </c>
      <c r="F13" s="1094">
        <v>305365</v>
      </c>
      <c r="G13" s="1094">
        <v>310495</v>
      </c>
      <c r="H13" s="1094">
        <v>315651</v>
      </c>
      <c r="I13" s="1094">
        <v>320836</v>
      </c>
      <c r="J13" s="1094">
        <v>323997</v>
      </c>
      <c r="K13" s="1094">
        <v>323997</v>
      </c>
      <c r="R13" s="441"/>
      <c r="U13" s="421">
        <v>7.3</v>
      </c>
      <c r="V13" s="421">
        <v>7.1</v>
      </c>
      <c r="W13" s="421">
        <v>7</v>
      </c>
      <c r="X13" s="421">
        <v>6.8</v>
      </c>
      <c r="Y13" s="421">
        <v>6.6</v>
      </c>
      <c r="Z13" s="421">
        <v>6.4</v>
      </c>
      <c r="AA13" s="421">
        <v>6.2</v>
      </c>
    </row>
    <row r="14" spans="1:28" s="624" customFormat="1" ht="29.25" customHeight="1">
      <c r="A14" s="1123"/>
      <c r="B14" s="1137" t="s">
        <v>520</v>
      </c>
      <c r="C14" s="1125"/>
      <c r="D14" s="1138">
        <v>100</v>
      </c>
      <c r="E14" s="1139">
        <v>100</v>
      </c>
      <c r="F14" s="1138">
        <v>100</v>
      </c>
      <c r="G14" s="1138">
        <v>100</v>
      </c>
      <c r="H14" s="1138">
        <v>100</v>
      </c>
      <c r="I14" s="1138">
        <v>100</v>
      </c>
      <c r="J14" s="1138">
        <v>100</v>
      </c>
      <c r="K14" s="1100"/>
      <c r="M14" s="624" t="e">
        <f>SUM(M15:M17)</f>
        <v>#REF!</v>
      </c>
      <c r="N14" s="624" t="e">
        <f>SUM(N15:N17)</f>
        <v>#REF!</v>
      </c>
      <c r="O14" s="624" t="e">
        <f>SUM(O15:O17)</f>
        <v>#REF!</v>
      </c>
      <c r="P14" s="624" t="e">
        <f>SUM(P15:P17)</f>
        <v>#REF!</v>
      </c>
      <c r="Q14" s="630" t="e">
        <f>SUM(Q15:Q17)</f>
        <v>#REF!</v>
      </c>
      <c r="R14" s="441"/>
      <c r="U14" s="624">
        <f aca="true" t="shared" si="3" ref="U14:AB14">U12-U13</f>
        <v>16.5</v>
      </c>
      <c r="V14" s="624">
        <f t="shared" si="3"/>
        <v>16.1</v>
      </c>
      <c r="W14" s="624">
        <f t="shared" si="3"/>
        <v>15.599999999999998</v>
      </c>
      <c r="X14" s="624">
        <f t="shared" si="3"/>
        <v>15.199999999999996</v>
      </c>
      <c r="Y14" s="624">
        <f t="shared" si="3"/>
        <v>14.799999999999995</v>
      </c>
      <c r="Z14" s="624">
        <f t="shared" si="3"/>
        <v>14.399999999999993</v>
      </c>
      <c r="AA14" s="624">
        <f t="shared" si="3"/>
        <v>13.999999999999993</v>
      </c>
      <c r="AB14" s="624">
        <f t="shared" si="3"/>
        <v>19.699999999999992</v>
      </c>
    </row>
    <row r="15" spans="1:28" ht="38.25" customHeight="1">
      <c r="A15" s="1117"/>
      <c r="B15" s="1126" t="s">
        <v>521</v>
      </c>
      <c r="C15" s="1127" t="s">
        <v>308</v>
      </c>
      <c r="D15" s="1140">
        <v>65.89</v>
      </c>
      <c r="E15" s="1140">
        <v>65.89</v>
      </c>
      <c r="F15" s="1141">
        <v>64.5</v>
      </c>
      <c r="G15" s="1142">
        <v>63</v>
      </c>
      <c r="H15" s="1141">
        <v>61.6</v>
      </c>
      <c r="I15" s="1141">
        <v>60</v>
      </c>
      <c r="J15" s="1141">
        <v>58.7</v>
      </c>
      <c r="K15" s="1100"/>
      <c r="L15" s="913"/>
      <c r="M15" s="421">
        <f>G16/100*G13</f>
        <v>42537.814999999995</v>
      </c>
      <c r="N15" s="421">
        <f>H16/100*H13</f>
        <v>45138.09300000001</v>
      </c>
      <c r="O15" s="421">
        <f>I16/100*I13</f>
        <v>48446.236</v>
      </c>
      <c r="P15" s="421">
        <f>J16/100*J13</f>
        <v>50543.532</v>
      </c>
      <c r="Q15" s="421" t="e">
        <f>40.5/100*#REF!</f>
        <v>#REF!</v>
      </c>
      <c r="R15" s="441"/>
      <c r="U15" s="631">
        <v>534772</v>
      </c>
      <c r="V15" s="631">
        <f aca="true" t="shared" si="4" ref="V15:AB15">(U15*V14/1000)+U15</f>
        <v>543381.8292</v>
      </c>
      <c r="W15" s="631">
        <f t="shared" si="4"/>
        <v>551858.58573552</v>
      </c>
      <c r="X15" s="631">
        <f t="shared" si="4"/>
        <v>560246.8362386998</v>
      </c>
      <c r="Y15" s="631">
        <f t="shared" si="4"/>
        <v>568538.4894150326</v>
      </c>
      <c r="Z15" s="631">
        <f t="shared" si="4"/>
        <v>576725.443662609</v>
      </c>
      <c r="AA15" s="631">
        <f t="shared" si="4"/>
        <v>584799.5998738855</v>
      </c>
      <c r="AB15" s="631">
        <f t="shared" si="4"/>
        <v>596320.1519914011</v>
      </c>
    </row>
    <row r="16" spans="1:28" ht="35.25" customHeight="1">
      <c r="A16" s="1117"/>
      <c r="B16" s="1126" t="s">
        <v>43</v>
      </c>
      <c r="C16" s="1127" t="s">
        <v>308</v>
      </c>
      <c r="D16" s="1140">
        <v>12.4</v>
      </c>
      <c r="E16" s="1140">
        <v>12.4</v>
      </c>
      <c r="F16" s="1143">
        <v>13</v>
      </c>
      <c r="G16" s="1143">
        <v>13.7</v>
      </c>
      <c r="H16" s="1143">
        <v>14.3</v>
      </c>
      <c r="I16" s="1143">
        <v>15.1</v>
      </c>
      <c r="J16" s="1143">
        <v>15.6</v>
      </c>
      <c r="K16" s="1144"/>
      <c r="M16" s="421" t="e">
        <f>#REF!/100*G13</f>
        <v>#REF!</v>
      </c>
      <c r="N16" s="421" t="e">
        <f>#REF!/100*H13</f>
        <v>#REF!</v>
      </c>
      <c r="O16" s="421" t="e">
        <f>#REF!/100*I13</f>
        <v>#REF!</v>
      </c>
      <c r="P16" s="421" t="e">
        <f>#REF!/100*J13</f>
        <v>#REF!</v>
      </c>
      <c r="Q16" s="421" t="e">
        <f>28.5/100*#REF!</f>
        <v>#REF!</v>
      </c>
      <c r="R16" s="441"/>
      <c r="V16" s="448">
        <f aca="true" t="shared" si="5" ref="V16:AB16">(V15-U15)/U15*100</f>
        <v>1.610000000000007</v>
      </c>
      <c r="W16" s="448">
        <f t="shared" si="5"/>
        <v>1.559999999999993</v>
      </c>
      <c r="X16" s="448">
        <f t="shared" si="5"/>
        <v>1.5199999999999902</v>
      </c>
      <c r="Y16" s="448">
        <f t="shared" si="5"/>
        <v>1.479999999999991</v>
      </c>
      <c r="Z16" s="448">
        <f t="shared" si="5"/>
        <v>1.4399999999999908</v>
      </c>
      <c r="AA16" s="448">
        <f t="shared" si="5"/>
        <v>1.4000000000000024</v>
      </c>
      <c r="AB16" s="448">
        <f t="shared" si="5"/>
        <v>1.9700000000000075</v>
      </c>
    </row>
    <row r="17" spans="1:27" ht="29.25" customHeight="1">
      <c r="A17" s="1117"/>
      <c r="B17" s="1126" t="s">
        <v>44</v>
      </c>
      <c r="C17" s="1127" t="s">
        <v>308</v>
      </c>
      <c r="D17" s="1140">
        <v>21.71</v>
      </c>
      <c r="E17" s="1140">
        <v>21.71</v>
      </c>
      <c r="F17" s="1145">
        <v>22.5</v>
      </c>
      <c r="G17" s="1145">
        <v>23.3</v>
      </c>
      <c r="H17" s="1143">
        <v>24.1</v>
      </c>
      <c r="I17" s="1143">
        <v>24.9</v>
      </c>
      <c r="J17" s="1143">
        <v>25.7</v>
      </c>
      <c r="K17" s="1144"/>
      <c r="L17" s="913"/>
      <c r="M17" s="421">
        <f>G17/100*G13</f>
        <v>72345.335</v>
      </c>
      <c r="N17" s="421">
        <f>H17/100*H13</f>
        <v>76071.891</v>
      </c>
      <c r="O17" s="421">
        <f>I17/100*I13</f>
        <v>79888.164</v>
      </c>
      <c r="P17" s="421">
        <f>J17/100*J13</f>
        <v>83267.229</v>
      </c>
      <c r="Q17" s="421" t="e">
        <f>30.5/100*#REF!</f>
        <v>#REF!</v>
      </c>
      <c r="R17" s="441"/>
      <c r="U17" s="421" t="s">
        <v>522</v>
      </c>
      <c r="V17" s="918">
        <v>542236</v>
      </c>
      <c r="W17" s="919">
        <v>551001</v>
      </c>
      <c r="X17" s="919">
        <v>559812</v>
      </c>
      <c r="Y17" s="919">
        <v>568696</v>
      </c>
      <c r="Z17" s="919">
        <v>578328</v>
      </c>
      <c r="AA17" s="919">
        <v>588016</v>
      </c>
    </row>
    <row r="18" spans="1:28" ht="40.5" customHeight="1">
      <c r="A18" s="1117">
        <v>3</v>
      </c>
      <c r="B18" s="1136" t="s">
        <v>523</v>
      </c>
      <c r="C18" s="1119" t="s">
        <v>498</v>
      </c>
      <c r="D18" s="1098">
        <v>8525</v>
      </c>
      <c r="E18" s="1099">
        <v>8500</v>
      </c>
      <c r="F18" s="1100">
        <v>8500</v>
      </c>
      <c r="G18" s="1100">
        <v>8550</v>
      </c>
      <c r="H18" s="1100">
        <v>8600</v>
      </c>
      <c r="I18" s="1100">
        <v>8650</v>
      </c>
      <c r="J18" s="1100">
        <v>8700</v>
      </c>
      <c r="K18" s="1101">
        <v>8600</v>
      </c>
      <c r="R18" s="441"/>
      <c r="V18" s="448"/>
      <c r="W18" s="448">
        <f>(W17-V17)/V17*100</f>
        <v>1.6164548277871629</v>
      </c>
      <c r="X18" s="448">
        <f>(X17-W17)/W17*100</f>
        <v>1.5990896568245792</v>
      </c>
      <c r="Y18" s="448">
        <f>(Y17-X17)/X17*100</f>
        <v>1.5869613370202853</v>
      </c>
      <c r="Z18" s="448">
        <f>(Z17-Y17)/Y17*100</f>
        <v>1.6936992699087032</v>
      </c>
      <c r="AA18" s="448">
        <f>(AA17-Z17)/Z17*100</f>
        <v>1.6751739497309486</v>
      </c>
      <c r="AB18" s="448">
        <f>(AA17-Z17)/Z17*100</f>
        <v>1.6751739497309486</v>
      </c>
    </row>
    <row r="19" spans="1:21" s="441" customFormat="1" ht="36" customHeight="1">
      <c r="A19" s="435" t="s">
        <v>15</v>
      </c>
      <c r="B19" s="436" t="s">
        <v>524</v>
      </c>
      <c r="C19" s="433"/>
      <c r="D19" s="1107"/>
      <c r="E19" s="1107"/>
      <c r="F19" s="1108"/>
      <c r="G19" s="1108"/>
      <c r="H19" s="1108"/>
      <c r="I19" s="1108"/>
      <c r="J19" s="1108"/>
      <c r="K19" s="435"/>
      <c r="L19" s="914"/>
      <c r="N19" s="538"/>
      <c r="O19" s="539"/>
      <c r="Q19" s="538"/>
      <c r="T19" s="538"/>
      <c r="U19" s="539"/>
    </row>
    <row r="20" spans="1:20" ht="29.25" customHeight="1">
      <c r="A20" s="445"/>
      <c r="B20" s="451" t="s">
        <v>525</v>
      </c>
      <c r="C20" s="437" t="s">
        <v>526</v>
      </c>
      <c r="D20" s="1109">
        <v>6</v>
      </c>
      <c r="E20" s="1109"/>
      <c r="F20" s="912">
        <v>2</v>
      </c>
      <c r="G20" s="912">
        <v>2</v>
      </c>
      <c r="H20" s="912">
        <v>2</v>
      </c>
      <c r="I20" s="912">
        <v>2</v>
      </c>
      <c r="J20" s="912">
        <v>2</v>
      </c>
      <c r="K20" s="445">
        <v>10</v>
      </c>
      <c r="L20" s="913"/>
      <c r="T20" s="421" t="s">
        <v>527</v>
      </c>
    </row>
    <row r="21" spans="1:12" s="441" customFormat="1" ht="29.25" customHeight="1">
      <c r="A21" s="1110" t="s">
        <v>18</v>
      </c>
      <c r="B21" s="1134" t="s">
        <v>528</v>
      </c>
      <c r="C21" s="1112"/>
      <c r="D21" s="1051"/>
      <c r="E21" s="1051"/>
      <c r="F21" s="1146"/>
      <c r="G21" s="1146"/>
      <c r="H21" s="1146"/>
      <c r="I21" s="1146"/>
      <c r="J21" s="1146"/>
      <c r="K21" s="1110"/>
      <c r="L21" s="915"/>
    </row>
    <row r="22" spans="1:12" ht="29.25" customHeight="1">
      <c r="A22" s="1117">
        <v>1</v>
      </c>
      <c r="B22" s="1136" t="s">
        <v>529</v>
      </c>
      <c r="C22" s="1119" t="s">
        <v>5</v>
      </c>
      <c r="D22" s="1147">
        <v>53.8</v>
      </c>
      <c r="E22" s="1147">
        <v>53.8</v>
      </c>
      <c r="F22" s="1148">
        <v>59.2</v>
      </c>
      <c r="G22" s="1148">
        <v>63.1</v>
      </c>
      <c r="H22" s="1148">
        <v>69.2</v>
      </c>
      <c r="I22" s="1148">
        <v>76.9</v>
      </c>
      <c r="J22" s="1148">
        <v>84.6</v>
      </c>
      <c r="K22" s="1149">
        <v>84.6</v>
      </c>
      <c r="L22" s="755"/>
    </row>
    <row r="23" spans="1:12" ht="42.75" customHeight="1">
      <c r="A23" s="1117">
        <v>2</v>
      </c>
      <c r="B23" s="1136" t="s">
        <v>530</v>
      </c>
      <c r="C23" s="1119" t="s">
        <v>5</v>
      </c>
      <c r="D23" s="1147">
        <v>82</v>
      </c>
      <c r="E23" s="1147">
        <v>82</v>
      </c>
      <c r="F23" s="1148">
        <v>85</v>
      </c>
      <c r="G23" s="1148">
        <v>87</v>
      </c>
      <c r="H23" s="1148">
        <v>89</v>
      </c>
      <c r="I23" s="1148">
        <v>90</v>
      </c>
      <c r="J23" s="1148">
        <v>95</v>
      </c>
      <c r="K23" s="1148">
        <v>95</v>
      </c>
      <c r="L23" s="755"/>
    </row>
    <row r="24" spans="1:22" s="441" customFormat="1" ht="31.5" customHeight="1">
      <c r="A24" s="1110" t="s">
        <v>531</v>
      </c>
      <c r="B24" s="1134" t="s">
        <v>532</v>
      </c>
      <c r="C24" s="1112"/>
      <c r="D24" s="1051"/>
      <c r="E24" s="1051"/>
      <c r="F24" s="1146"/>
      <c r="G24" s="1146"/>
      <c r="H24" s="1146"/>
      <c r="I24" s="1146"/>
      <c r="J24" s="1146"/>
      <c r="K24" s="1110"/>
      <c r="L24" s="755"/>
      <c r="M24" s="755"/>
      <c r="N24" s="755"/>
      <c r="O24" s="755"/>
      <c r="P24" s="755"/>
      <c r="Q24" s="755"/>
      <c r="R24" s="755"/>
      <c r="S24" s="755"/>
      <c r="T24" s="755"/>
      <c r="U24" s="755"/>
      <c r="V24" s="755"/>
    </row>
    <row r="25" spans="1:22" ht="38.25" customHeight="1">
      <c r="A25" s="1117">
        <v>1</v>
      </c>
      <c r="B25" s="1074" t="s">
        <v>533</v>
      </c>
      <c r="C25" s="1119" t="s">
        <v>534</v>
      </c>
      <c r="D25" s="1150"/>
      <c r="E25" s="1151"/>
      <c r="F25" s="1143"/>
      <c r="G25" s="1143"/>
      <c r="H25" s="1143"/>
      <c r="I25" s="1143"/>
      <c r="J25" s="1143"/>
      <c r="K25" s="1143"/>
      <c r="L25" s="755"/>
      <c r="M25" s="755"/>
      <c r="N25" s="755"/>
      <c r="O25" s="755"/>
      <c r="P25" s="755"/>
      <c r="Q25" s="755"/>
      <c r="R25" s="755"/>
      <c r="S25" s="755"/>
      <c r="T25" s="755"/>
      <c r="U25" s="755"/>
      <c r="V25" s="755"/>
    </row>
    <row r="26" spans="1:22" ht="29.25" customHeight="1">
      <c r="A26" s="1117"/>
      <c r="B26" s="1152" t="s">
        <v>535</v>
      </c>
      <c r="C26" s="1127" t="s">
        <v>534</v>
      </c>
      <c r="D26" s="1143">
        <v>29.9</v>
      </c>
      <c r="E26" s="1151">
        <v>29.9</v>
      </c>
      <c r="F26" s="1143">
        <v>30.1</v>
      </c>
      <c r="G26" s="1143">
        <v>31.2</v>
      </c>
      <c r="H26" s="1143">
        <v>33.9</v>
      </c>
      <c r="I26" s="1143">
        <v>35.7</v>
      </c>
      <c r="J26" s="1143" t="s">
        <v>536</v>
      </c>
      <c r="K26" s="1143">
        <v>38.8</v>
      </c>
      <c r="L26" s="755"/>
      <c r="M26" s="755"/>
      <c r="N26" s="755"/>
      <c r="O26" s="755"/>
      <c r="P26" s="755"/>
      <c r="Q26" s="755"/>
      <c r="R26" s="755"/>
      <c r="S26" s="755"/>
      <c r="T26" s="755"/>
      <c r="U26" s="755"/>
      <c r="V26" s="755"/>
    </row>
    <row r="27" spans="1:22" ht="29.25" customHeight="1">
      <c r="A27" s="1117"/>
      <c r="B27" s="1152" t="s">
        <v>537</v>
      </c>
      <c r="C27" s="1127" t="s">
        <v>534</v>
      </c>
      <c r="D27" s="1153"/>
      <c r="E27" s="1151"/>
      <c r="F27" s="1143"/>
      <c r="G27" s="1130"/>
      <c r="H27" s="1130"/>
      <c r="I27" s="1130"/>
      <c r="J27" s="1130"/>
      <c r="K27" s="1143">
        <v>2</v>
      </c>
      <c r="L27" s="755"/>
      <c r="M27" s="755"/>
      <c r="N27" s="755"/>
      <c r="O27" s="755"/>
      <c r="P27" s="755"/>
      <c r="Q27" s="755"/>
      <c r="R27" s="755"/>
      <c r="S27" s="755"/>
      <c r="T27" s="755"/>
      <c r="U27" s="755"/>
      <c r="V27" s="755"/>
    </row>
    <row r="28" spans="1:22" ht="30" customHeight="1">
      <c r="A28" s="1117">
        <v>2</v>
      </c>
      <c r="B28" s="1074" t="s">
        <v>538</v>
      </c>
      <c r="C28" s="1119" t="s">
        <v>539</v>
      </c>
      <c r="D28" s="1130">
        <v>10.87</v>
      </c>
      <c r="E28" s="1154">
        <v>10.87</v>
      </c>
      <c r="F28" s="1143">
        <v>11.1</v>
      </c>
      <c r="G28" s="1143">
        <v>11</v>
      </c>
      <c r="H28" s="1143">
        <v>11</v>
      </c>
      <c r="I28" s="1143">
        <v>11</v>
      </c>
      <c r="J28" s="1143">
        <v>11</v>
      </c>
      <c r="K28" s="1130">
        <v>11</v>
      </c>
      <c r="L28" s="755"/>
      <c r="M28" s="755"/>
      <c r="N28" s="755"/>
      <c r="O28" s="755"/>
      <c r="P28" s="755"/>
      <c r="Q28" s="755"/>
      <c r="R28" s="755"/>
      <c r="S28" s="755"/>
      <c r="T28" s="755"/>
      <c r="U28" s="755"/>
      <c r="V28" s="755"/>
    </row>
    <row r="29" spans="1:22" ht="38.25" customHeight="1">
      <c r="A29" s="1117">
        <v>3</v>
      </c>
      <c r="B29" s="1155" t="s">
        <v>724</v>
      </c>
      <c r="C29" s="1119" t="s">
        <v>725</v>
      </c>
      <c r="D29" s="1143">
        <v>65</v>
      </c>
      <c r="E29" s="1151">
        <v>65</v>
      </c>
      <c r="F29" s="1143">
        <v>62</v>
      </c>
      <c r="G29" s="1143">
        <v>61</v>
      </c>
      <c r="H29" s="1143">
        <v>57</v>
      </c>
      <c r="I29" s="1143">
        <v>54</v>
      </c>
      <c r="J29" s="1143" t="s">
        <v>540</v>
      </c>
      <c r="K29" s="1143" t="s">
        <v>541</v>
      </c>
      <c r="L29" s="755"/>
      <c r="M29" s="755"/>
      <c r="N29" s="755"/>
      <c r="O29" s="755"/>
      <c r="P29" s="755"/>
      <c r="Q29" s="755"/>
      <c r="R29" s="755"/>
      <c r="S29" s="755"/>
      <c r="T29" s="755"/>
      <c r="U29" s="755"/>
      <c r="V29" s="755"/>
    </row>
    <row r="30" spans="1:22" ht="33" customHeight="1">
      <c r="A30" s="1117">
        <v>4</v>
      </c>
      <c r="B30" s="1074" t="s">
        <v>542</v>
      </c>
      <c r="C30" s="1119" t="s">
        <v>727</v>
      </c>
      <c r="D30" s="1143">
        <v>34.2</v>
      </c>
      <c r="E30" s="1143">
        <v>34.2</v>
      </c>
      <c r="F30" s="1143">
        <v>31</v>
      </c>
      <c r="G30" s="1143">
        <v>23</v>
      </c>
      <c r="H30" s="1143">
        <v>15</v>
      </c>
      <c r="I30" s="1143">
        <v>13</v>
      </c>
      <c r="J30" s="1143">
        <v>11</v>
      </c>
      <c r="K30" s="1143">
        <v>11</v>
      </c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755"/>
    </row>
    <row r="31" spans="1:22" ht="33" customHeight="1">
      <c r="A31" s="1117">
        <v>5</v>
      </c>
      <c r="B31" s="1074" t="s">
        <v>543</v>
      </c>
      <c r="C31" s="1119" t="s">
        <v>727</v>
      </c>
      <c r="D31" s="1143">
        <v>46.6</v>
      </c>
      <c r="E31" s="1143">
        <v>46.6</v>
      </c>
      <c r="F31" s="1143">
        <v>43</v>
      </c>
      <c r="G31" s="1143">
        <v>32</v>
      </c>
      <c r="H31" s="1143">
        <v>24</v>
      </c>
      <c r="I31" s="1143">
        <v>18</v>
      </c>
      <c r="J31" s="1143">
        <v>16</v>
      </c>
      <c r="K31" s="1143">
        <v>16</v>
      </c>
      <c r="L31" s="755"/>
      <c r="M31" s="755"/>
      <c r="N31" s="755"/>
      <c r="O31" s="755"/>
      <c r="P31" s="755"/>
      <c r="Q31" s="755"/>
      <c r="R31" s="755"/>
      <c r="S31" s="755" t="s">
        <v>527</v>
      </c>
      <c r="T31" s="755"/>
      <c r="U31" s="755"/>
      <c r="V31" s="755"/>
    </row>
    <row r="32" spans="1:22" ht="45" customHeight="1">
      <c r="A32" s="1117">
        <v>6</v>
      </c>
      <c r="B32" s="1074" t="s">
        <v>544</v>
      </c>
      <c r="C32" s="1119" t="s">
        <v>308</v>
      </c>
      <c r="D32" s="1143">
        <v>18.8</v>
      </c>
      <c r="E32" s="1151">
        <v>18.8</v>
      </c>
      <c r="F32" s="1143">
        <v>18.3</v>
      </c>
      <c r="G32" s="1143">
        <v>15.8</v>
      </c>
      <c r="H32" s="1143">
        <v>13.4</v>
      </c>
      <c r="I32" s="1143">
        <v>11.2</v>
      </c>
      <c r="J32" s="1143">
        <v>10</v>
      </c>
      <c r="K32" s="1143">
        <v>10</v>
      </c>
      <c r="L32" s="755"/>
      <c r="M32" s="755"/>
      <c r="N32" s="755"/>
      <c r="O32" s="755"/>
      <c r="P32" s="755"/>
      <c r="Q32" s="755"/>
      <c r="R32" s="755"/>
      <c r="S32" s="755"/>
      <c r="T32" s="755"/>
      <c r="U32" s="755"/>
      <c r="V32" s="755"/>
    </row>
    <row r="33" spans="1:22" ht="38.25" customHeight="1">
      <c r="A33" s="1117">
        <v>7</v>
      </c>
      <c r="B33" s="1156" t="s">
        <v>726</v>
      </c>
      <c r="C33" s="1119" t="s">
        <v>308</v>
      </c>
      <c r="D33" s="1143">
        <v>30.8</v>
      </c>
      <c r="E33" s="1151">
        <v>30.8</v>
      </c>
      <c r="F33" s="1143">
        <v>43.1</v>
      </c>
      <c r="G33" s="1143">
        <v>50.8</v>
      </c>
      <c r="H33" s="1143">
        <v>62.3</v>
      </c>
      <c r="I33" s="1143">
        <v>73.1</v>
      </c>
      <c r="J33" s="1143">
        <v>80</v>
      </c>
      <c r="K33" s="1149">
        <v>80</v>
      </c>
      <c r="L33" s="755"/>
      <c r="M33" s="755"/>
      <c r="N33" s="755"/>
      <c r="O33" s="755"/>
      <c r="P33" s="755"/>
      <c r="Q33" s="755"/>
      <c r="R33" s="755"/>
      <c r="S33" s="755"/>
      <c r="T33" s="755"/>
      <c r="U33" s="755"/>
      <c r="V33" s="755"/>
    </row>
    <row r="34" spans="1:22" ht="38.25" customHeight="1">
      <c r="A34" s="1117">
        <v>8</v>
      </c>
      <c r="B34" s="1136" t="s">
        <v>545</v>
      </c>
      <c r="C34" s="1119" t="s">
        <v>308</v>
      </c>
      <c r="D34" s="1121">
        <v>94</v>
      </c>
      <c r="E34" s="1120">
        <v>94</v>
      </c>
      <c r="F34" s="1121">
        <v>94</v>
      </c>
      <c r="G34" s="1143" t="s">
        <v>546</v>
      </c>
      <c r="H34" s="1143" t="s">
        <v>546</v>
      </c>
      <c r="I34" s="1143" t="s">
        <v>546</v>
      </c>
      <c r="J34" s="1143" t="s">
        <v>546</v>
      </c>
      <c r="K34" s="1149" t="s">
        <v>547</v>
      </c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755"/>
    </row>
    <row r="35" spans="1:22" ht="37.5" customHeight="1">
      <c r="A35" s="1117">
        <v>9</v>
      </c>
      <c r="B35" s="1136" t="s">
        <v>548</v>
      </c>
      <c r="C35" s="1119" t="s">
        <v>308</v>
      </c>
      <c r="D35" s="1121">
        <v>60</v>
      </c>
      <c r="E35" s="1098">
        <v>60</v>
      </c>
      <c r="F35" s="1143">
        <v>65.4</v>
      </c>
      <c r="G35" s="1143">
        <v>75</v>
      </c>
      <c r="H35" s="1143">
        <v>81</v>
      </c>
      <c r="I35" s="1121">
        <v>86</v>
      </c>
      <c r="J35" s="1121">
        <v>90</v>
      </c>
      <c r="K35" s="1149">
        <v>90</v>
      </c>
      <c r="L35" s="755"/>
      <c r="M35" s="755"/>
      <c r="N35" s="755"/>
      <c r="O35" s="755"/>
      <c r="P35" s="755"/>
      <c r="Q35" s="755"/>
      <c r="R35" s="755"/>
      <c r="S35" s="755"/>
      <c r="T35" s="755"/>
      <c r="U35" s="755"/>
      <c r="V35" s="755"/>
    </row>
    <row r="36" spans="1:22" ht="42" customHeight="1">
      <c r="A36" s="1117">
        <v>10</v>
      </c>
      <c r="B36" s="1136" t="s">
        <v>549</v>
      </c>
      <c r="C36" s="1119" t="s">
        <v>308</v>
      </c>
      <c r="D36" s="1121">
        <v>98</v>
      </c>
      <c r="E36" s="1120">
        <v>98</v>
      </c>
      <c r="F36" s="1120">
        <v>98</v>
      </c>
      <c r="G36" s="1151" t="s">
        <v>550</v>
      </c>
      <c r="H36" s="1151" t="s">
        <v>550</v>
      </c>
      <c r="I36" s="1151" t="s">
        <v>550</v>
      </c>
      <c r="J36" s="1143" t="s">
        <v>551</v>
      </c>
      <c r="K36" s="1149" t="s">
        <v>552</v>
      </c>
      <c r="L36" s="755"/>
      <c r="M36" s="755"/>
      <c r="N36" s="755"/>
      <c r="O36" s="755"/>
      <c r="P36" s="755"/>
      <c r="Q36" s="755"/>
      <c r="R36" s="755"/>
      <c r="S36" s="755"/>
      <c r="T36" s="755"/>
      <c r="U36" s="755"/>
      <c r="V36" s="755"/>
    </row>
    <row r="37" spans="1:11" ht="16.5">
      <c r="A37" s="896"/>
      <c r="B37" s="897"/>
      <c r="C37" s="898"/>
      <c r="D37" s="898"/>
      <c r="E37" s="898"/>
      <c r="F37" s="899"/>
      <c r="G37" s="899"/>
      <c r="H37" s="899"/>
      <c r="I37" s="899"/>
      <c r="J37" s="899"/>
      <c r="K37" s="899"/>
    </row>
    <row r="38" spans="1:11" ht="16.5">
      <c r="A38" s="896"/>
      <c r="B38" s="1208"/>
      <c r="C38" s="1208"/>
      <c r="D38" s="1208"/>
      <c r="E38" s="861"/>
      <c r="F38" s="1041"/>
      <c r="G38" s="899"/>
      <c r="H38" s="899"/>
      <c r="I38" s="899"/>
      <c r="J38" s="899"/>
      <c r="K38" s="899"/>
    </row>
    <row r="39" spans="1:11" ht="16.5">
      <c r="A39" s="896"/>
      <c r="B39" s="897"/>
      <c r="C39" s="898"/>
      <c r="D39" s="898"/>
      <c r="E39" s="898"/>
      <c r="F39" s="1041"/>
      <c r="G39" s="899"/>
      <c r="H39" s="899"/>
      <c r="I39" s="899"/>
      <c r="J39" s="899"/>
      <c r="K39" s="899"/>
    </row>
    <row r="40" spans="1:11" ht="16.5">
      <c r="A40" s="896"/>
      <c r="B40" s="897"/>
      <c r="C40" s="898"/>
      <c r="D40" s="898"/>
      <c r="E40" s="898"/>
      <c r="F40" s="1041"/>
      <c r="G40" s="899"/>
      <c r="H40" s="899"/>
      <c r="I40" s="899"/>
      <c r="J40" s="899"/>
      <c r="K40" s="899"/>
    </row>
    <row r="41" spans="1:11" ht="16.5">
      <c r="A41" s="896"/>
      <c r="B41" s="897"/>
      <c r="C41" s="898"/>
      <c r="D41" s="898"/>
      <c r="E41" s="898"/>
      <c r="F41" s="1041"/>
      <c r="G41" s="899"/>
      <c r="H41" s="899"/>
      <c r="I41" s="899"/>
      <c r="J41" s="899"/>
      <c r="K41" s="899"/>
    </row>
    <row r="42" spans="1:11" ht="16.5">
      <c r="A42" s="896"/>
      <c r="B42" s="897"/>
      <c r="C42" s="898"/>
      <c r="D42" s="898"/>
      <c r="E42" s="898"/>
      <c r="F42" s="1041"/>
      <c r="G42" s="899"/>
      <c r="H42" s="899"/>
      <c r="I42" s="899"/>
      <c r="J42" s="899"/>
      <c r="K42" s="899"/>
    </row>
    <row r="43" spans="1:11" ht="16.5">
      <c r="A43" s="896"/>
      <c r="B43" s="897"/>
      <c r="C43" s="898"/>
      <c r="D43" s="898"/>
      <c r="E43" s="898"/>
      <c r="F43" s="1041"/>
      <c r="G43" s="899"/>
      <c r="H43" s="899"/>
      <c r="I43" s="899"/>
      <c r="J43" s="899"/>
      <c r="K43" s="899"/>
    </row>
    <row r="44" spans="1:11" ht="16.5">
      <c r="A44" s="896"/>
      <c r="B44" s="897"/>
      <c r="C44" s="898"/>
      <c r="D44" s="898"/>
      <c r="E44" s="898"/>
      <c r="F44" s="1041"/>
      <c r="G44" s="899"/>
      <c r="H44" s="899"/>
      <c r="I44" s="899"/>
      <c r="J44" s="899"/>
      <c r="K44" s="899"/>
    </row>
    <row r="45" spans="1:11" ht="16.5">
      <c r="A45" s="896"/>
      <c r="B45" s="897"/>
      <c r="C45" s="898"/>
      <c r="D45" s="898"/>
      <c r="E45" s="898"/>
      <c r="F45" s="1041"/>
      <c r="G45" s="899"/>
      <c r="H45" s="899"/>
      <c r="I45" s="899"/>
      <c r="J45" s="899"/>
      <c r="K45" s="899"/>
    </row>
    <row r="46" spans="1:11" ht="16.5">
      <c r="A46" s="896"/>
      <c r="B46" s="897"/>
      <c r="C46" s="898"/>
      <c r="D46" s="898"/>
      <c r="E46" s="898"/>
      <c r="F46" s="1041"/>
      <c r="G46" s="899"/>
      <c r="H46" s="899"/>
      <c r="I46" s="899"/>
      <c r="J46" s="899"/>
      <c r="K46" s="899"/>
    </row>
    <row r="47" spans="1:11" ht="16.5">
      <c r="A47" s="896"/>
      <c r="B47" s="897"/>
      <c r="C47" s="898"/>
      <c r="D47" s="898"/>
      <c r="E47" s="898"/>
      <c r="F47" s="1041"/>
      <c r="G47" s="899"/>
      <c r="H47" s="899"/>
      <c r="I47" s="899"/>
      <c r="J47" s="899"/>
      <c r="K47" s="899"/>
    </row>
    <row r="48" spans="1:11" ht="16.5">
      <c r="A48" s="896"/>
      <c r="B48" s="897"/>
      <c r="C48" s="898"/>
      <c r="D48" s="898"/>
      <c r="E48" s="898"/>
      <c r="F48" s="1041"/>
      <c r="G48" s="899"/>
      <c r="H48" s="899"/>
      <c r="I48" s="899"/>
      <c r="J48" s="899"/>
      <c r="K48" s="899"/>
    </row>
    <row r="49" spans="1:11" ht="16.5">
      <c r="A49" s="896"/>
      <c r="B49" s="897"/>
      <c r="C49" s="898"/>
      <c r="D49" s="898"/>
      <c r="E49" s="898"/>
      <c r="F49" s="1041"/>
      <c r="G49" s="899"/>
      <c r="H49" s="899"/>
      <c r="I49" s="899"/>
      <c r="J49" s="899"/>
      <c r="K49" s="899"/>
    </row>
    <row r="50" spans="1:11" ht="16.5">
      <c r="A50" s="896"/>
      <c r="B50" s="897"/>
      <c r="C50" s="898"/>
      <c r="D50" s="898"/>
      <c r="E50" s="898"/>
      <c r="F50" s="1041"/>
      <c r="G50" s="899"/>
      <c r="H50" s="899"/>
      <c r="I50" s="899"/>
      <c r="J50" s="899"/>
      <c r="K50" s="899"/>
    </row>
    <row r="51" spans="1:11" ht="16.5">
      <c r="A51" s="896"/>
      <c r="B51" s="897"/>
      <c r="C51" s="898"/>
      <c r="D51" s="898"/>
      <c r="E51" s="898"/>
      <c r="F51" s="1041"/>
      <c r="G51" s="899"/>
      <c r="H51" s="899"/>
      <c r="I51" s="899"/>
      <c r="J51" s="899"/>
      <c r="K51" s="899"/>
    </row>
    <row r="52" spans="1:11" ht="16.5">
      <c r="A52" s="896"/>
      <c r="B52" s="897"/>
      <c r="C52" s="898"/>
      <c r="D52" s="898"/>
      <c r="E52" s="898"/>
      <c r="F52" s="1041"/>
      <c r="G52" s="899"/>
      <c r="H52" s="899"/>
      <c r="I52" s="899"/>
      <c r="J52" s="899"/>
      <c r="K52" s="899"/>
    </row>
    <row r="53" spans="1:11" ht="16.5">
      <c r="A53" s="896"/>
      <c r="B53" s="897"/>
      <c r="C53" s="898"/>
      <c r="D53" s="898"/>
      <c r="E53" s="898"/>
      <c r="F53" s="1041"/>
      <c r="G53" s="899"/>
      <c r="H53" s="899"/>
      <c r="I53" s="899"/>
      <c r="J53" s="899"/>
      <c r="K53" s="899"/>
    </row>
    <row r="54" spans="1:11" ht="16.5">
      <c r="A54" s="896"/>
      <c r="B54" s="897"/>
      <c r="C54" s="898"/>
      <c r="D54" s="898"/>
      <c r="E54" s="898"/>
      <c r="F54" s="1041"/>
      <c r="G54" s="899"/>
      <c r="H54" s="899"/>
      <c r="I54" s="899"/>
      <c r="J54" s="899"/>
      <c r="K54" s="899"/>
    </row>
    <row r="55" spans="1:11" ht="16.5">
      <c r="A55" s="896"/>
      <c r="B55" s="897"/>
      <c r="C55" s="898"/>
      <c r="D55" s="898"/>
      <c r="E55" s="898"/>
      <c r="F55" s="1041"/>
      <c r="G55" s="899"/>
      <c r="H55" s="899"/>
      <c r="I55" s="899"/>
      <c r="J55" s="899"/>
      <c r="K55" s="899"/>
    </row>
    <row r="56" spans="1:11" ht="16.5">
      <c r="A56" s="896"/>
      <c r="B56" s="897"/>
      <c r="C56" s="898"/>
      <c r="D56" s="898"/>
      <c r="E56" s="898"/>
      <c r="F56" s="1041"/>
      <c r="G56" s="899"/>
      <c r="H56" s="899"/>
      <c r="I56" s="899"/>
      <c r="J56" s="899"/>
      <c r="K56" s="899"/>
    </row>
    <row r="57" spans="1:11" ht="16.5">
      <c r="A57" s="896"/>
      <c r="B57" s="897"/>
      <c r="C57" s="898"/>
      <c r="D57" s="898"/>
      <c r="E57" s="898"/>
      <c r="F57" s="1041"/>
      <c r="G57" s="899"/>
      <c r="H57" s="899"/>
      <c r="I57" s="899"/>
      <c r="J57" s="899"/>
      <c r="K57" s="899"/>
    </row>
    <row r="58" spans="1:11" ht="16.5">
      <c r="A58" s="896"/>
      <c r="B58" s="897"/>
      <c r="C58" s="898"/>
      <c r="D58" s="898"/>
      <c r="E58" s="898"/>
      <c r="F58" s="1041"/>
      <c r="G58" s="899"/>
      <c r="H58" s="899"/>
      <c r="I58" s="899"/>
      <c r="J58" s="899"/>
      <c r="K58" s="899"/>
    </row>
    <row r="59" spans="1:11" ht="16.5">
      <c r="A59" s="896"/>
      <c r="B59" s="897"/>
      <c r="C59" s="898"/>
      <c r="D59" s="898"/>
      <c r="E59" s="898"/>
      <c r="F59" s="1041"/>
      <c r="G59" s="899"/>
      <c r="H59" s="899"/>
      <c r="I59" s="899"/>
      <c r="J59" s="899"/>
      <c r="K59" s="899"/>
    </row>
    <row r="60" spans="1:11" ht="16.5">
      <c r="A60" s="896"/>
      <c r="B60" s="897"/>
      <c r="C60" s="898"/>
      <c r="D60" s="898"/>
      <c r="E60" s="898"/>
      <c r="F60" s="1041"/>
      <c r="G60" s="899"/>
      <c r="H60" s="899"/>
      <c r="I60" s="899"/>
      <c r="J60" s="899"/>
      <c r="K60" s="899"/>
    </row>
    <row r="61" spans="1:11" ht="16.5">
      <c r="A61" s="896"/>
      <c r="B61" s="897"/>
      <c r="C61" s="898"/>
      <c r="D61" s="898"/>
      <c r="E61" s="898"/>
      <c r="F61" s="1041"/>
      <c r="G61" s="899"/>
      <c r="H61" s="899"/>
      <c r="I61" s="899"/>
      <c r="J61" s="899"/>
      <c r="K61" s="899"/>
    </row>
    <row r="62" spans="1:11" ht="16.5">
      <c r="A62" s="896"/>
      <c r="B62" s="897"/>
      <c r="C62" s="898"/>
      <c r="D62" s="898"/>
      <c r="E62" s="898"/>
      <c r="F62" s="1041"/>
      <c r="G62" s="899"/>
      <c r="H62" s="899"/>
      <c r="I62" s="899"/>
      <c r="J62" s="899"/>
      <c r="K62" s="899"/>
    </row>
    <row r="63" spans="1:11" ht="16.5">
      <c r="A63" s="896"/>
      <c r="B63" s="897"/>
      <c r="C63" s="898"/>
      <c r="D63" s="898"/>
      <c r="E63" s="898"/>
      <c r="F63" s="1041"/>
      <c r="G63" s="899"/>
      <c r="H63" s="899"/>
      <c r="I63" s="899"/>
      <c r="J63" s="899"/>
      <c r="K63" s="899"/>
    </row>
    <row r="64" spans="1:11" ht="16.5">
      <c r="A64" s="896"/>
      <c r="B64" s="897"/>
      <c r="C64" s="898"/>
      <c r="D64" s="898"/>
      <c r="E64" s="898"/>
      <c r="F64" s="1041"/>
      <c r="G64" s="899"/>
      <c r="H64" s="899"/>
      <c r="I64" s="899"/>
      <c r="J64" s="899"/>
      <c r="K64" s="899"/>
    </row>
    <row r="65" spans="1:11" ht="16.5">
      <c r="A65" s="896"/>
      <c r="B65" s="897"/>
      <c r="C65" s="898"/>
      <c r="D65" s="898"/>
      <c r="E65" s="898"/>
      <c r="F65" s="1041"/>
      <c r="G65" s="899"/>
      <c r="H65" s="899"/>
      <c r="I65" s="899"/>
      <c r="J65" s="899"/>
      <c r="K65" s="899"/>
    </row>
    <row r="66" spans="1:11" ht="16.5">
      <c r="A66" s="896"/>
      <c r="B66" s="897"/>
      <c r="C66" s="898"/>
      <c r="D66" s="898"/>
      <c r="E66" s="898"/>
      <c r="F66" s="1041"/>
      <c r="G66" s="899"/>
      <c r="H66" s="899"/>
      <c r="I66" s="899"/>
      <c r="J66" s="899"/>
      <c r="K66" s="899"/>
    </row>
    <row r="67" spans="1:11" ht="16.5">
      <c r="A67" s="896"/>
      <c r="B67" s="897"/>
      <c r="C67" s="898"/>
      <c r="D67" s="898"/>
      <c r="E67" s="898"/>
      <c r="F67" s="1041"/>
      <c r="G67" s="899"/>
      <c r="H67" s="899"/>
      <c r="I67" s="899"/>
      <c r="J67" s="899"/>
      <c r="K67" s="899"/>
    </row>
    <row r="68" spans="1:11" ht="16.5">
      <c r="A68" s="896"/>
      <c r="B68" s="897"/>
      <c r="C68" s="898"/>
      <c r="D68" s="898"/>
      <c r="E68" s="898"/>
      <c r="F68" s="1041"/>
      <c r="G68" s="899"/>
      <c r="H68" s="899"/>
      <c r="I68" s="899"/>
      <c r="J68" s="899"/>
      <c r="K68" s="899"/>
    </row>
    <row r="69" spans="1:11" ht="16.5">
      <c r="A69" s="896"/>
      <c r="B69" s="897"/>
      <c r="C69" s="898"/>
      <c r="D69" s="898"/>
      <c r="E69" s="898"/>
      <c r="F69" s="1041"/>
      <c r="G69" s="899"/>
      <c r="H69" s="899"/>
      <c r="I69" s="899"/>
      <c r="J69" s="899"/>
      <c r="K69" s="899"/>
    </row>
    <row r="70" spans="1:11" ht="16.5">
      <c r="A70" s="896"/>
      <c r="B70" s="897"/>
      <c r="C70" s="898"/>
      <c r="D70" s="898"/>
      <c r="E70" s="898"/>
      <c r="F70" s="1041"/>
      <c r="G70" s="899"/>
      <c r="H70" s="899"/>
      <c r="I70" s="899"/>
      <c r="J70" s="899"/>
      <c r="K70" s="899"/>
    </row>
    <row r="71" spans="1:11" ht="16.5">
      <c r="A71" s="896"/>
      <c r="B71" s="897"/>
      <c r="C71" s="898"/>
      <c r="D71" s="898"/>
      <c r="E71" s="898"/>
      <c r="F71" s="1041"/>
      <c r="G71" s="899"/>
      <c r="H71" s="899"/>
      <c r="I71" s="899"/>
      <c r="J71" s="899"/>
      <c r="K71" s="899"/>
    </row>
    <row r="72" spans="1:11" ht="16.5">
      <c r="A72" s="896"/>
      <c r="B72" s="897"/>
      <c r="C72" s="898"/>
      <c r="D72" s="898"/>
      <c r="E72" s="898"/>
      <c r="F72" s="1041"/>
      <c r="G72" s="899"/>
      <c r="H72" s="899"/>
      <c r="I72" s="899"/>
      <c r="J72" s="899"/>
      <c r="K72" s="899"/>
    </row>
    <row r="73" spans="1:11" ht="16.5">
      <c r="A73" s="896"/>
      <c r="B73" s="897"/>
      <c r="C73" s="898"/>
      <c r="D73" s="898"/>
      <c r="E73" s="898"/>
      <c r="F73" s="1041"/>
      <c r="G73" s="899"/>
      <c r="H73" s="899"/>
      <c r="I73" s="899"/>
      <c r="J73" s="899"/>
      <c r="K73" s="899"/>
    </row>
    <row r="74" spans="1:11" ht="16.5">
      <c r="A74" s="896"/>
      <c r="B74" s="897"/>
      <c r="C74" s="898"/>
      <c r="D74" s="898"/>
      <c r="E74" s="898"/>
      <c r="F74" s="1041"/>
      <c r="G74" s="899"/>
      <c r="H74" s="899"/>
      <c r="I74" s="899"/>
      <c r="J74" s="899"/>
      <c r="K74" s="899"/>
    </row>
    <row r="75" spans="1:11" ht="16.5">
      <c r="A75" s="896"/>
      <c r="B75" s="897"/>
      <c r="C75" s="898"/>
      <c r="D75" s="898"/>
      <c r="E75" s="898"/>
      <c r="F75" s="1041"/>
      <c r="G75" s="899"/>
      <c r="H75" s="899"/>
      <c r="I75" s="899"/>
      <c r="J75" s="899"/>
      <c r="K75" s="899"/>
    </row>
    <row r="76" spans="1:11" ht="16.5">
      <c r="A76" s="896"/>
      <c r="B76" s="897"/>
      <c r="C76" s="898"/>
      <c r="D76" s="898"/>
      <c r="E76" s="898"/>
      <c r="F76" s="1041"/>
      <c r="G76" s="899"/>
      <c r="H76" s="899"/>
      <c r="I76" s="899"/>
      <c r="J76" s="899"/>
      <c r="K76" s="899"/>
    </row>
    <row r="77" spans="1:11" ht="16.5">
      <c r="A77" s="896"/>
      <c r="B77" s="897"/>
      <c r="C77" s="898"/>
      <c r="D77" s="898"/>
      <c r="E77" s="898"/>
      <c r="F77" s="1041"/>
      <c r="G77" s="899"/>
      <c r="H77" s="899"/>
      <c r="I77" s="899"/>
      <c r="J77" s="899"/>
      <c r="K77" s="899"/>
    </row>
    <row r="78" spans="1:11" ht="16.5">
      <c r="A78" s="896"/>
      <c r="B78" s="897"/>
      <c r="C78" s="898"/>
      <c r="D78" s="898"/>
      <c r="E78" s="898"/>
      <c r="F78" s="1041"/>
      <c r="G78" s="899"/>
      <c r="H78" s="899"/>
      <c r="I78" s="899"/>
      <c r="J78" s="899"/>
      <c r="K78" s="899"/>
    </row>
    <row r="79" spans="1:11" ht="16.5">
      <c r="A79" s="896"/>
      <c r="B79" s="897"/>
      <c r="C79" s="898"/>
      <c r="D79" s="898"/>
      <c r="E79" s="898"/>
      <c r="F79" s="1041"/>
      <c r="G79" s="899"/>
      <c r="H79" s="899"/>
      <c r="I79" s="899"/>
      <c r="J79" s="899"/>
      <c r="K79" s="899"/>
    </row>
    <row r="80" spans="1:11" ht="16.5">
      <c r="A80" s="896"/>
      <c r="B80" s="897"/>
      <c r="C80" s="898"/>
      <c r="D80" s="898"/>
      <c r="E80" s="898"/>
      <c r="F80" s="1041"/>
      <c r="G80" s="899"/>
      <c r="H80" s="899"/>
      <c r="I80" s="899"/>
      <c r="J80" s="899"/>
      <c r="K80" s="899"/>
    </row>
    <row r="81" spans="1:11" ht="16.5">
      <c r="A81" s="896"/>
      <c r="B81" s="897"/>
      <c r="C81" s="898"/>
      <c r="D81" s="898"/>
      <c r="E81" s="898"/>
      <c r="F81" s="1041"/>
      <c r="G81" s="899"/>
      <c r="H81" s="899"/>
      <c r="I81" s="899"/>
      <c r="J81" s="899"/>
      <c r="K81" s="899"/>
    </row>
    <row r="82" spans="1:11" ht="16.5">
      <c r="A82" s="896"/>
      <c r="B82" s="897"/>
      <c r="C82" s="898"/>
      <c r="D82" s="898"/>
      <c r="E82" s="898"/>
      <c r="F82" s="1041"/>
      <c r="G82" s="899"/>
      <c r="H82" s="899"/>
      <c r="I82" s="899"/>
      <c r="J82" s="899"/>
      <c r="K82" s="899"/>
    </row>
    <row r="83" spans="1:11" ht="16.5">
      <c r="A83" s="896"/>
      <c r="B83" s="897"/>
      <c r="C83" s="898"/>
      <c r="D83" s="898"/>
      <c r="E83" s="898"/>
      <c r="F83" s="1041"/>
      <c r="G83" s="899"/>
      <c r="H83" s="899"/>
      <c r="I83" s="899"/>
      <c r="J83" s="899"/>
      <c r="K83" s="899"/>
    </row>
    <row r="84" spans="1:11" ht="16.5">
      <c r="A84" s="896"/>
      <c r="B84" s="897"/>
      <c r="C84" s="898"/>
      <c r="D84" s="898"/>
      <c r="E84" s="898"/>
      <c r="F84" s="1041"/>
      <c r="G84" s="899"/>
      <c r="H84" s="899"/>
      <c r="I84" s="899"/>
      <c r="J84" s="899"/>
      <c r="K84" s="899"/>
    </row>
    <row r="85" spans="1:11" ht="16.5">
      <c r="A85" s="896"/>
      <c r="B85" s="897"/>
      <c r="C85" s="898"/>
      <c r="D85" s="898"/>
      <c r="E85" s="898"/>
      <c r="F85" s="1041"/>
      <c r="G85" s="899"/>
      <c r="H85" s="899"/>
      <c r="I85" s="899"/>
      <c r="J85" s="899"/>
      <c r="K85" s="899"/>
    </row>
    <row r="86" spans="1:11" ht="16.5">
      <c r="A86" s="896"/>
      <c r="B86" s="897"/>
      <c r="C86" s="898"/>
      <c r="D86" s="898"/>
      <c r="E86" s="898"/>
      <c r="F86" s="1041"/>
      <c r="G86" s="899"/>
      <c r="H86" s="899"/>
      <c r="I86" s="899"/>
      <c r="J86" s="899"/>
      <c r="K86" s="899"/>
    </row>
    <row r="87" spans="1:11" ht="16.5">
      <c r="A87" s="896"/>
      <c r="B87" s="897"/>
      <c r="C87" s="898"/>
      <c r="D87" s="898"/>
      <c r="E87" s="898"/>
      <c r="F87" s="1041"/>
      <c r="G87" s="899"/>
      <c r="H87" s="899"/>
      <c r="I87" s="899"/>
      <c r="J87" s="899"/>
      <c r="K87" s="899"/>
    </row>
    <row r="88" spans="1:11" ht="16.5">
      <c r="A88" s="896"/>
      <c r="B88" s="897"/>
      <c r="C88" s="898"/>
      <c r="D88" s="898"/>
      <c r="E88" s="898"/>
      <c r="F88" s="1041"/>
      <c r="G88" s="899"/>
      <c r="H88" s="899"/>
      <c r="I88" s="899"/>
      <c r="J88" s="899"/>
      <c r="K88" s="899"/>
    </row>
    <row r="89" spans="1:11" ht="16.5">
      <c r="A89" s="896"/>
      <c r="B89" s="897"/>
      <c r="C89" s="898"/>
      <c r="D89" s="898"/>
      <c r="E89" s="898"/>
      <c r="F89" s="1041"/>
      <c r="G89" s="899"/>
      <c r="H89" s="899"/>
      <c r="I89" s="899"/>
      <c r="J89" s="899"/>
      <c r="K89" s="899"/>
    </row>
    <row r="90" spans="1:11" ht="16.5">
      <c r="A90" s="896"/>
      <c r="B90" s="897"/>
      <c r="C90" s="898"/>
      <c r="D90" s="898"/>
      <c r="E90" s="898"/>
      <c r="F90" s="1041"/>
      <c r="G90" s="899"/>
      <c r="H90" s="899"/>
      <c r="I90" s="899"/>
      <c r="J90" s="899"/>
      <c r="K90" s="899"/>
    </row>
    <row r="91" spans="1:11" ht="16.5">
      <c r="A91" s="896"/>
      <c r="B91" s="897"/>
      <c r="C91" s="898"/>
      <c r="D91" s="898"/>
      <c r="E91" s="898"/>
      <c r="F91" s="1041"/>
      <c r="G91" s="899"/>
      <c r="H91" s="899"/>
      <c r="I91" s="899"/>
      <c r="J91" s="899"/>
      <c r="K91" s="899"/>
    </row>
    <row r="92" spans="1:11" ht="16.5">
      <c r="A92" s="896"/>
      <c r="B92" s="897"/>
      <c r="C92" s="898"/>
      <c r="D92" s="898"/>
      <c r="E92" s="898"/>
      <c r="F92" s="1041"/>
      <c r="G92" s="899"/>
      <c r="H92" s="899"/>
      <c r="I92" s="899"/>
      <c r="J92" s="899"/>
      <c r="K92" s="899"/>
    </row>
    <row r="93" spans="1:11" ht="16.5">
      <c r="A93" s="896"/>
      <c r="B93" s="897"/>
      <c r="C93" s="898"/>
      <c r="D93" s="898"/>
      <c r="E93" s="898"/>
      <c r="F93" s="1041"/>
      <c r="G93" s="899"/>
      <c r="H93" s="899"/>
      <c r="I93" s="899"/>
      <c r="J93" s="899"/>
      <c r="K93" s="899"/>
    </row>
    <row r="94" spans="1:11" ht="16.5">
      <c r="A94" s="896"/>
      <c r="B94" s="897"/>
      <c r="C94" s="898"/>
      <c r="D94" s="898"/>
      <c r="E94" s="898"/>
      <c r="F94" s="1041"/>
      <c r="G94" s="899"/>
      <c r="H94" s="899"/>
      <c r="I94" s="899"/>
      <c r="J94" s="899"/>
      <c r="K94" s="899"/>
    </row>
    <row r="95" spans="1:11" ht="16.5">
      <c r="A95" s="896"/>
      <c r="B95" s="897"/>
      <c r="C95" s="898"/>
      <c r="D95" s="898"/>
      <c r="E95" s="898"/>
      <c r="F95" s="1041"/>
      <c r="G95" s="899"/>
      <c r="H95" s="899"/>
      <c r="I95" s="899"/>
      <c r="J95" s="899"/>
      <c r="K95" s="899"/>
    </row>
    <row r="96" spans="1:11" ht="16.5">
      <c r="A96" s="896"/>
      <c r="B96" s="897"/>
      <c r="C96" s="898"/>
      <c r="D96" s="898"/>
      <c r="E96" s="898"/>
      <c r="F96" s="1041"/>
      <c r="G96" s="899"/>
      <c r="H96" s="899"/>
      <c r="I96" s="899"/>
      <c r="J96" s="899"/>
      <c r="K96" s="899"/>
    </row>
    <row r="97" spans="1:11" ht="16.5">
      <c r="A97" s="896"/>
      <c r="B97" s="897"/>
      <c r="C97" s="898"/>
      <c r="D97" s="898"/>
      <c r="E97" s="898"/>
      <c r="F97" s="1041"/>
      <c r="G97" s="899"/>
      <c r="H97" s="899"/>
      <c r="I97" s="899"/>
      <c r="J97" s="899"/>
      <c r="K97" s="899"/>
    </row>
    <row r="98" spans="1:11" ht="16.5">
      <c r="A98" s="896"/>
      <c r="B98" s="897"/>
      <c r="C98" s="898"/>
      <c r="D98" s="898"/>
      <c r="E98" s="898"/>
      <c r="F98" s="1041"/>
      <c r="G98" s="899"/>
      <c r="H98" s="899"/>
      <c r="I98" s="899"/>
      <c r="J98" s="899"/>
      <c r="K98" s="899"/>
    </row>
    <row r="99" spans="1:11" ht="16.5">
      <c r="A99" s="896"/>
      <c r="B99" s="897"/>
      <c r="C99" s="898"/>
      <c r="D99" s="898"/>
      <c r="E99" s="898"/>
      <c r="F99" s="1041"/>
      <c r="G99" s="899"/>
      <c r="H99" s="899"/>
      <c r="I99" s="899"/>
      <c r="J99" s="899"/>
      <c r="K99" s="899"/>
    </row>
    <row r="100" spans="1:11" ht="16.5">
      <c r="A100" s="896"/>
      <c r="B100" s="897"/>
      <c r="C100" s="898"/>
      <c r="D100" s="898"/>
      <c r="E100" s="898"/>
      <c r="F100" s="1041"/>
      <c r="G100" s="899"/>
      <c r="H100" s="899"/>
      <c r="I100" s="899"/>
      <c r="J100" s="899"/>
      <c r="K100" s="899"/>
    </row>
    <row r="101" spans="1:11" ht="16.5">
      <c r="A101" s="896"/>
      <c r="B101" s="897"/>
      <c r="C101" s="898"/>
      <c r="D101" s="898"/>
      <c r="E101" s="898"/>
      <c r="F101" s="1041"/>
      <c r="G101" s="899"/>
      <c r="H101" s="899"/>
      <c r="I101" s="899"/>
      <c r="J101" s="899"/>
      <c r="K101" s="899"/>
    </row>
    <row r="102" spans="1:11" ht="16.5">
      <c r="A102" s="896"/>
      <c r="B102" s="897"/>
      <c r="C102" s="898"/>
      <c r="D102" s="898"/>
      <c r="E102" s="898"/>
      <c r="F102" s="1041"/>
      <c r="G102" s="899"/>
      <c r="H102" s="899"/>
      <c r="I102" s="899"/>
      <c r="J102" s="899"/>
      <c r="K102" s="899"/>
    </row>
    <row r="103" spans="1:11" ht="16.5">
      <c r="A103" s="896"/>
      <c r="B103" s="897"/>
      <c r="C103" s="898"/>
      <c r="D103" s="898"/>
      <c r="E103" s="898"/>
      <c r="F103" s="1041"/>
      <c r="G103" s="899"/>
      <c r="H103" s="899"/>
      <c r="I103" s="899"/>
      <c r="J103" s="899"/>
      <c r="K103" s="899"/>
    </row>
    <row r="104" spans="1:11" ht="16.5">
      <c r="A104" s="896"/>
      <c r="B104" s="897"/>
      <c r="C104" s="898"/>
      <c r="D104" s="898"/>
      <c r="E104" s="898"/>
      <c r="F104" s="1041"/>
      <c r="G104" s="899"/>
      <c r="H104" s="899"/>
      <c r="I104" s="899"/>
      <c r="J104" s="899"/>
      <c r="K104" s="899"/>
    </row>
    <row r="105" spans="1:11" ht="16.5">
      <c r="A105" s="896"/>
      <c r="B105" s="897"/>
      <c r="C105" s="898"/>
      <c r="D105" s="898"/>
      <c r="E105" s="898"/>
      <c r="F105" s="1041"/>
      <c r="G105" s="899"/>
      <c r="H105" s="899"/>
      <c r="I105" s="899"/>
      <c r="J105" s="899"/>
      <c r="K105" s="899"/>
    </row>
    <row r="106" spans="1:11" ht="16.5">
      <c r="A106" s="896"/>
      <c r="B106" s="897"/>
      <c r="C106" s="898"/>
      <c r="D106" s="898"/>
      <c r="E106" s="898"/>
      <c r="F106" s="1041"/>
      <c r="G106" s="899"/>
      <c r="H106" s="899"/>
      <c r="I106" s="899"/>
      <c r="J106" s="899"/>
      <c r="K106" s="899"/>
    </row>
    <row r="107" spans="1:11" ht="16.5">
      <c r="A107" s="896"/>
      <c r="B107" s="897"/>
      <c r="C107" s="898"/>
      <c r="D107" s="898"/>
      <c r="E107" s="898"/>
      <c r="F107" s="1041"/>
      <c r="G107" s="899"/>
      <c r="H107" s="899"/>
      <c r="I107" s="899"/>
      <c r="J107" s="899"/>
      <c r="K107" s="899"/>
    </row>
    <row r="108" spans="1:11" ht="16.5">
      <c r="A108" s="896"/>
      <c r="B108" s="897"/>
      <c r="C108" s="898"/>
      <c r="D108" s="898"/>
      <c r="E108" s="898"/>
      <c r="F108" s="1041"/>
      <c r="G108" s="899"/>
      <c r="H108" s="899"/>
      <c r="I108" s="899"/>
      <c r="J108" s="899"/>
      <c r="K108" s="899"/>
    </row>
    <row r="109" spans="1:11" ht="16.5">
      <c r="A109" s="896"/>
      <c r="B109" s="897"/>
      <c r="C109" s="898"/>
      <c r="D109" s="898"/>
      <c r="E109" s="898"/>
      <c r="F109" s="1041"/>
      <c r="G109" s="899"/>
      <c r="H109" s="899"/>
      <c r="I109" s="899"/>
      <c r="J109" s="899"/>
      <c r="K109" s="899"/>
    </row>
    <row r="110" spans="1:11" ht="16.5">
      <c r="A110" s="896"/>
      <c r="B110" s="897"/>
      <c r="C110" s="898"/>
      <c r="D110" s="898"/>
      <c r="E110" s="898"/>
      <c r="F110" s="1041"/>
      <c r="G110" s="899"/>
      <c r="H110" s="899"/>
      <c r="I110" s="899"/>
      <c r="J110" s="899"/>
      <c r="K110" s="899"/>
    </row>
    <row r="111" spans="1:11" ht="16.5">
      <c r="A111" s="896"/>
      <c r="B111" s="897"/>
      <c r="C111" s="898"/>
      <c r="D111" s="898"/>
      <c r="E111" s="898"/>
      <c r="F111" s="1041"/>
      <c r="G111" s="899"/>
      <c r="H111" s="899"/>
      <c r="I111" s="899"/>
      <c r="J111" s="899"/>
      <c r="K111" s="899"/>
    </row>
    <row r="112" spans="1:11" ht="16.5">
      <c r="A112" s="896"/>
      <c r="B112" s="897"/>
      <c r="C112" s="898"/>
      <c r="D112" s="898"/>
      <c r="E112" s="898"/>
      <c r="F112" s="1041"/>
      <c r="G112" s="899"/>
      <c r="H112" s="899"/>
      <c r="I112" s="899"/>
      <c r="J112" s="899"/>
      <c r="K112" s="899"/>
    </row>
    <row r="113" spans="1:11" ht="16.5">
      <c r="A113" s="896"/>
      <c r="B113" s="897"/>
      <c r="C113" s="898"/>
      <c r="D113" s="898"/>
      <c r="E113" s="898"/>
      <c r="F113" s="1041"/>
      <c r="G113" s="899"/>
      <c r="H113" s="899"/>
      <c r="I113" s="899"/>
      <c r="J113" s="899"/>
      <c r="K113" s="899"/>
    </row>
    <row r="114" spans="1:11" ht="16.5">
      <c r="A114" s="896"/>
      <c r="B114" s="897"/>
      <c r="C114" s="898"/>
      <c r="D114" s="898"/>
      <c r="E114" s="898"/>
      <c r="F114" s="1041"/>
      <c r="G114" s="899"/>
      <c r="H114" s="899"/>
      <c r="I114" s="899"/>
      <c r="J114" s="899"/>
      <c r="K114" s="899"/>
    </row>
    <row r="115" spans="1:11" ht="16.5">
      <c r="A115" s="896"/>
      <c r="B115" s="897"/>
      <c r="C115" s="898"/>
      <c r="D115" s="898"/>
      <c r="E115" s="898"/>
      <c r="F115" s="1041"/>
      <c r="G115" s="899"/>
      <c r="H115" s="899"/>
      <c r="I115" s="899"/>
      <c r="J115" s="899"/>
      <c r="K115" s="899"/>
    </row>
    <row r="116" spans="1:11" ht="16.5">
      <c r="A116" s="896"/>
      <c r="B116" s="897"/>
      <c r="C116" s="898"/>
      <c r="D116" s="898"/>
      <c r="E116" s="898"/>
      <c r="F116" s="1041"/>
      <c r="G116" s="899"/>
      <c r="H116" s="899"/>
      <c r="I116" s="899"/>
      <c r="J116" s="899"/>
      <c r="K116" s="899"/>
    </row>
    <row r="117" spans="1:11" ht="16.5">
      <c r="A117" s="896"/>
      <c r="B117" s="897"/>
      <c r="C117" s="898"/>
      <c r="D117" s="898"/>
      <c r="E117" s="898"/>
      <c r="F117" s="1041"/>
      <c r="G117" s="899"/>
      <c r="H117" s="899"/>
      <c r="I117" s="899"/>
      <c r="J117" s="899"/>
      <c r="K117" s="899"/>
    </row>
    <row r="118" spans="1:11" ht="16.5">
      <c r="A118" s="896"/>
      <c r="B118" s="897"/>
      <c r="C118" s="898"/>
      <c r="D118" s="898"/>
      <c r="E118" s="898"/>
      <c r="F118" s="1041"/>
      <c r="G118" s="899"/>
      <c r="H118" s="899"/>
      <c r="I118" s="899"/>
      <c r="J118" s="899"/>
      <c r="K118" s="899"/>
    </row>
    <row r="119" spans="1:11" ht="16.5">
      <c r="A119" s="896"/>
      <c r="B119" s="897"/>
      <c r="C119" s="898"/>
      <c r="D119" s="898"/>
      <c r="E119" s="898"/>
      <c r="F119" s="1041"/>
      <c r="G119" s="899"/>
      <c r="H119" s="899"/>
      <c r="I119" s="899"/>
      <c r="J119" s="899"/>
      <c r="K119" s="899"/>
    </row>
    <row r="120" spans="1:11" ht="16.5">
      <c r="A120" s="896"/>
      <c r="B120" s="897"/>
      <c r="C120" s="898"/>
      <c r="D120" s="898"/>
      <c r="E120" s="898"/>
      <c r="F120" s="1041"/>
      <c r="G120" s="899"/>
      <c r="H120" s="899"/>
      <c r="I120" s="899"/>
      <c r="J120" s="899"/>
      <c r="K120" s="899"/>
    </row>
    <row r="121" spans="1:11" ht="16.5">
      <c r="A121" s="896"/>
      <c r="B121" s="897"/>
      <c r="C121" s="898"/>
      <c r="D121" s="898"/>
      <c r="E121" s="898"/>
      <c r="F121" s="1041"/>
      <c r="G121" s="899"/>
      <c r="H121" s="899"/>
      <c r="I121" s="899"/>
      <c r="J121" s="899"/>
      <c r="K121" s="899"/>
    </row>
    <row r="122" spans="1:11" ht="16.5">
      <c r="A122" s="896"/>
      <c r="B122" s="897"/>
      <c r="C122" s="898"/>
      <c r="D122" s="898"/>
      <c r="E122" s="898"/>
      <c r="F122" s="1041"/>
      <c r="G122" s="899"/>
      <c r="H122" s="899"/>
      <c r="I122" s="899"/>
      <c r="J122" s="899"/>
      <c r="K122" s="899"/>
    </row>
    <row r="123" spans="1:11" ht="16.5">
      <c r="A123" s="896"/>
      <c r="B123" s="897"/>
      <c r="C123" s="898"/>
      <c r="D123" s="898"/>
      <c r="E123" s="898"/>
      <c r="F123" s="1041"/>
      <c r="G123" s="899"/>
      <c r="H123" s="899"/>
      <c r="I123" s="899"/>
      <c r="J123" s="899"/>
      <c r="K123" s="899"/>
    </row>
    <row r="124" spans="1:11" ht="16.5">
      <c r="A124" s="896"/>
      <c r="B124" s="897"/>
      <c r="C124" s="898"/>
      <c r="D124" s="898"/>
      <c r="E124" s="898"/>
      <c r="F124" s="1041"/>
      <c r="G124" s="899"/>
      <c r="H124" s="899"/>
      <c r="I124" s="899"/>
      <c r="J124" s="899"/>
      <c r="K124" s="899"/>
    </row>
    <row r="125" spans="1:11" ht="16.5">
      <c r="A125" s="896"/>
      <c r="B125" s="897"/>
      <c r="C125" s="898"/>
      <c r="D125" s="898"/>
      <c r="E125" s="898"/>
      <c r="F125" s="1041"/>
      <c r="G125" s="899"/>
      <c r="H125" s="899"/>
      <c r="I125" s="899"/>
      <c r="J125" s="899"/>
      <c r="K125" s="899"/>
    </row>
    <row r="126" spans="1:11" ht="16.5">
      <c r="A126" s="896"/>
      <c r="B126" s="897"/>
      <c r="C126" s="898"/>
      <c r="D126" s="898"/>
      <c r="E126" s="898"/>
      <c r="F126" s="1041"/>
      <c r="G126" s="899"/>
      <c r="H126" s="899"/>
      <c r="I126" s="899"/>
      <c r="J126" s="899"/>
      <c r="K126" s="899"/>
    </row>
    <row r="127" spans="1:11" ht="16.5">
      <c r="A127" s="896"/>
      <c r="B127" s="897"/>
      <c r="C127" s="898"/>
      <c r="D127" s="898"/>
      <c r="E127" s="898"/>
      <c r="F127" s="1041"/>
      <c r="G127" s="899"/>
      <c r="H127" s="899"/>
      <c r="I127" s="899"/>
      <c r="J127" s="899"/>
      <c r="K127" s="899"/>
    </row>
    <row r="128" spans="1:11" ht="16.5">
      <c r="A128" s="896"/>
      <c r="B128" s="897"/>
      <c r="C128" s="898"/>
      <c r="D128" s="898"/>
      <c r="E128" s="898"/>
      <c r="F128" s="1041"/>
      <c r="G128" s="899"/>
      <c r="H128" s="899"/>
      <c r="I128" s="899"/>
      <c r="J128" s="899"/>
      <c r="K128" s="899"/>
    </row>
    <row r="129" spans="1:11" ht="16.5">
      <c r="A129" s="896"/>
      <c r="B129" s="897"/>
      <c r="C129" s="898"/>
      <c r="D129" s="898"/>
      <c r="E129" s="898"/>
      <c r="F129" s="1041"/>
      <c r="G129" s="899"/>
      <c r="H129" s="899"/>
      <c r="I129" s="899"/>
      <c r="J129" s="899"/>
      <c r="K129" s="899"/>
    </row>
    <row r="130" spans="1:11" ht="16.5">
      <c r="A130" s="896"/>
      <c r="B130" s="897"/>
      <c r="C130" s="898"/>
      <c r="D130" s="898"/>
      <c r="E130" s="898"/>
      <c r="F130" s="1041"/>
      <c r="G130" s="899"/>
      <c r="H130" s="899"/>
      <c r="I130" s="899"/>
      <c r="J130" s="899"/>
      <c r="K130" s="899"/>
    </row>
    <row r="131" spans="1:11" ht="16.5">
      <c r="A131" s="896"/>
      <c r="B131" s="897"/>
      <c r="C131" s="898"/>
      <c r="D131" s="898"/>
      <c r="E131" s="898"/>
      <c r="F131" s="1041"/>
      <c r="G131" s="899"/>
      <c r="H131" s="899"/>
      <c r="I131" s="899"/>
      <c r="J131" s="899"/>
      <c r="K131" s="899"/>
    </row>
    <row r="132" spans="1:11" ht="16.5">
      <c r="A132" s="896"/>
      <c r="B132" s="897"/>
      <c r="C132" s="898"/>
      <c r="D132" s="898"/>
      <c r="E132" s="898"/>
      <c r="F132" s="1041"/>
      <c r="G132" s="899"/>
      <c r="H132" s="899"/>
      <c r="I132" s="899"/>
      <c r="J132" s="899"/>
      <c r="K132" s="899"/>
    </row>
    <row r="133" spans="1:11" ht="16.5">
      <c r="A133" s="896"/>
      <c r="B133" s="897"/>
      <c r="C133" s="898"/>
      <c r="D133" s="898"/>
      <c r="E133" s="898"/>
      <c r="F133" s="1041"/>
      <c r="G133" s="899"/>
      <c r="H133" s="899"/>
      <c r="I133" s="899"/>
      <c r="J133" s="899"/>
      <c r="K133" s="899"/>
    </row>
    <row r="134" spans="1:11" ht="16.5">
      <c r="A134" s="896"/>
      <c r="B134" s="897"/>
      <c r="C134" s="898"/>
      <c r="D134" s="898"/>
      <c r="E134" s="898"/>
      <c r="F134" s="1041"/>
      <c r="G134" s="899"/>
      <c r="H134" s="899"/>
      <c r="I134" s="899"/>
      <c r="J134" s="899"/>
      <c r="K134" s="899"/>
    </row>
    <row r="135" spans="1:11" ht="16.5">
      <c r="A135" s="896"/>
      <c r="B135" s="897"/>
      <c r="C135" s="898"/>
      <c r="D135" s="898"/>
      <c r="E135" s="898"/>
      <c r="F135" s="1041"/>
      <c r="G135" s="899"/>
      <c r="H135" s="899"/>
      <c r="I135" s="899"/>
      <c r="J135" s="899"/>
      <c r="K135" s="899"/>
    </row>
    <row r="136" spans="1:11" ht="16.5">
      <c r="A136" s="896"/>
      <c r="B136" s="897"/>
      <c r="C136" s="898"/>
      <c r="D136" s="898"/>
      <c r="E136" s="898"/>
      <c r="F136" s="1041"/>
      <c r="G136" s="899"/>
      <c r="H136" s="899"/>
      <c r="I136" s="899"/>
      <c r="J136" s="899"/>
      <c r="K136" s="899"/>
    </row>
    <row r="137" spans="1:11" ht="16.5">
      <c r="A137" s="896"/>
      <c r="B137" s="897"/>
      <c r="C137" s="898"/>
      <c r="D137" s="898"/>
      <c r="E137" s="898"/>
      <c r="F137" s="1041"/>
      <c r="G137" s="899"/>
      <c r="H137" s="899"/>
      <c r="I137" s="899"/>
      <c r="J137" s="899"/>
      <c r="K137" s="899"/>
    </row>
    <row r="138" spans="1:11" ht="16.5">
      <c r="A138" s="896"/>
      <c r="B138" s="897"/>
      <c r="C138" s="898"/>
      <c r="D138" s="898"/>
      <c r="E138" s="898"/>
      <c r="F138" s="1041"/>
      <c r="G138" s="899"/>
      <c r="H138" s="899"/>
      <c r="I138" s="899"/>
      <c r="J138" s="899"/>
      <c r="K138" s="899"/>
    </row>
    <row r="139" spans="1:11" ht="16.5">
      <c r="A139" s="896"/>
      <c r="B139" s="897"/>
      <c r="C139" s="898"/>
      <c r="D139" s="898"/>
      <c r="E139" s="898"/>
      <c r="F139" s="1041"/>
      <c r="G139" s="899"/>
      <c r="H139" s="899"/>
      <c r="I139" s="899"/>
      <c r="J139" s="899"/>
      <c r="K139" s="899"/>
    </row>
    <row r="140" spans="1:11" ht="16.5">
      <c r="A140" s="896"/>
      <c r="B140" s="897"/>
      <c r="C140" s="898"/>
      <c r="D140" s="898"/>
      <c r="E140" s="898"/>
      <c r="F140" s="1041"/>
      <c r="G140" s="899"/>
      <c r="H140" s="899"/>
      <c r="I140" s="899"/>
      <c r="J140" s="899"/>
      <c r="K140" s="899"/>
    </row>
    <row r="141" spans="1:11" ht="16.5">
      <c r="A141" s="896"/>
      <c r="B141" s="897"/>
      <c r="C141" s="898"/>
      <c r="D141" s="898"/>
      <c r="E141" s="898"/>
      <c r="F141" s="1041"/>
      <c r="G141" s="899"/>
      <c r="H141" s="899"/>
      <c r="I141" s="899"/>
      <c r="J141" s="899"/>
      <c r="K141" s="899"/>
    </row>
    <row r="142" spans="1:11" ht="16.5">
      <c r="A142" s="896"/>
      <c r="B142" s="897"/>
      <c r="C142" s="898"/>
      <c r="D142" s="898"/>
      <c r="E142" s="898"/>
      <c r="F142" s="1041"/>
      <c r="G142" s="899"/>
      <c r="H142" s="899"/>
      <c r="I142" s="899"/>
      <c r="J142" s="899"/>
      <c r="K142" s="899"/>
    </row>
    <row r="143" spans="1:11" ht="16.5">
      <c r="A143" s="896"/>
      <c r="B143" s="897"/>
      <c r="C143" s="898"/>
      <c r="D143" s="898"/>
      <c r="E143" s="898"/>
      <c r="F143" s="1041"/>
      <c r="G143" s="899"/>
      <c r="H143" s="899"/>
      <c r="I143" s="899"/>
      <c r="J143" s="899"/>
      <c r="K143" s="899"/>
    </row>
    <row r="144" spans="1:11" ht="16.5">
      <c r="A144" s="896"/>
      <c r="B144" s="897"/>
      <c r="C144" s="898"/>
      <c r="D144" s="898"/>
      <c r="E144" s="898"/>
      <c r="F144" s="1041"/>
      <c r="G144" s="899"/>
      <c r="H144" s="899"/>
      <c r="I144" s="899"/>
      <c r="J144" s="899"/>
      <c r="K144" s="899"/>
    </row>
    <row r="145" spans="1:11" ht="16.5">
      <c r="A145" s="896"/>
      <c r="B145" s="897"/>
      <c r="C145" s="898"/>
      <c r="D145" s="898"/>
      <c r="E145" s="898"/>
      <c r="F145" s="1041"/>
      <c r="G145" s="899"/>
      <c r="H145" s="899"/>
      <c r="I145" s="899"/>
      <c r="J145" s="899"/>
      <c r="K145" s="899"/>
    </row>
    <row r="146" spans="1:11" ht="16.5">
      <c r="A146" s="896"/>
      <c r="B146" s="897"/>
      <c r="C146" s="898"/>
      <c r="D146" s="898"/>
      <c r="E146" s="898"/>
      <c r="F146" s="1041"/>
      <c r="G146" s="899"/>
      <c r="H146" s="899"/>
      <c r="I146" s="899"/>
      <c r="J146" s="899"/>
      <c r="K146" s="899"/>
    </row>
    <row r="147" spans="1:11" ht="16.5">
      <c r="A147" s="896"/>
      <c r="B147" s="897"/>
      <c r="C147" s="898"/>
      <c r="D147" s="898"/>
      <c r="E147" s="898"/>
      <c r="F147" s="1041"/>
      <c r="G147" s="899"/>
      <c r="H147" s="899"/>
      <c r="I147" s="899"/>
      <c r="J147" s="899"/>
      <c r="K147" s="899"/>
    </row>
    <row r="148" spans="1:11" ht="16.5">
      <c r="A148" s="896"/>
      <c r="B148" s="897"/>
      <c r="C148" s="898"/>
      <c r="D148" s="898"/>
      <c r="E148" s="898"/>
      <c r="F148" s="1041"/>
      <c r="G148" s="899"/>
      <c r="H148" s="899"/>
      <c r="I148" s="899"/>
      <c r="J148" s="899"/>
      <c r="K148" s="899"/>
    </row>
    <row r="149" spans="1:11" ht="16.5">
      <c r="A149" s="896"/>
      <c r="B149" s="897"/>
      <c r="C149" s="898"/>
      <c r="D149" s="898"/>
      <c r="E149" s="898"/>
      <c r="F149" s="1041"/>
      <c r="G149" s="899"/>
      <c r="H149" s="899"/>
      <c r="I149" s="899"/>
      <c r="J149" s="899"/>
      <c r="K149" s="899"/>
    </row>
    <row r="150" spans="1:11" ht="16.5">
      <c r="A150" s="896"/>
      <c r="B150" s="897"/>
      <c r="C150" s="898"/>
      <c r="D150" s="898"/>
      <c r="E150" s="898"/>
      <c r="F150" s="1041"/>
      <c r="G150" s="899"/>
      <c r="H150" s="899"/>
      <c r="I150" s="899"/>
      <c r="J150" s="899"/>
      <c r="K150" s="899"/>
    </row>
    <row r="151" spans="1:11" ht="16.5">
      <c r="A151" s="896"/>
      <c r="B151" s="897"/>
      <c r="C151" s="898"/>
      <c r="D151" s="898"/>
      <c r="E151" s="898"/>
      <c r="F151" s="1041"/>
      <c r="G151" s="899"/>
      <c r="H151" s="899"/>
      <c r="I151" s="899"/>
      <c r="J151" s="899"/>
      <c r="K151" s="899"/>
    </row>
    <row r="152" spans="1:11" ht="16.5">
      <c r="A152" s="896"/>
      <c r="B152" s="897"/>
      <c r="C152" s="898"/>
      <c r="D152" s="898"/>
      <c r="E152" s="898"/>
      <c r="F152" s="1041"/>
      <c r="G152" s="899"/>
      <c r="H152" s="899"/>
      <c r="I152" s="899"/>
      <c r="J152" s="899"/>
      <c r="K152" s="899"/>
    </row>
    <row r="153" spans="1:11" ht="16.5">
      <c r="A153" s="896"/>
      <c r="B153" s="897"/>
      <c r="C153" s="898"/>
      <c r="D153" s="898"/>
      <c r="E153" s="898"/>
      <c r="F153" s="1041"/>
      <c r="G153" s="899"/>
      <c r="H153" s="899"/>
      <c r="I153" s="899"/>
      <c r="J153" s="899"/>
      <c r="K153" s="899"/>
    </row>
    <row r="154" spans="1:11" ht="16.5">
      <c r="A154" s="896"/>
      <c r="B154" s="897"/>
      <c r="C154" s="898"/>
      <c r="D154" s="898"/>
      <c r="E154" s="898"/>
      <c r="F154" s="1041"/>
      <c r="G154" s="899"/>
      <c r="H154" s="899"/>
      <c r="I154" s="899"/>
      <c r="J154" s="899"/>
      <c r="K154" s="899"/>
    </row>
    <row r="155" spans="1:11" ht="16.5">
      <c r="A155" s="896"/>
      <c r="B155" s="897"/>
      <c r="C155" s="898"/>
      <c r="D155" s="898"/>
      <c r="E155" s="898"/>
      <c r="F155" s="1041"/>
      <c r="G155" s="899"/>
      <c r="H155" s="899"/>
      <c r="I155" s="899"/>
      <c r="J155" s="899"/>
      <c r="K155" s="899"/>
    </row>
    <row r="156" spans="1:11" ht="16.5">
      <c r="A156" s="896"/>
      <c r="B156" s="897"/>
      <c r="C156" s="898"/>
      <c r="D156" s="898"/>
      <c r="E156" s="898"/>
      <c r="F156" s="1041"/>
      <c r="G156" s="899"/>
      <c r="H156" s="899"/>
      <c r="I156" s="899"/>
      <c r="J156" s="899"/>
      <c r="K156" s="899"/>
    </row>
    <row r="157" spans="1:11" ht="16.5">
      <c r="A157" s="896"/>
      <c r="B157" s="897"/>
      <c r="C157" s="898"/>
      <c r="D157" s="898"/>
      <c r="E157" s="898"/>
      <c r="F157" s="1041"/>
      <c r="G157" s="899"/>
      <c r="H157" s="899"/>
      <c r="I157" s="899"/>
      <c r="J157" s="899"/>
      <c r="K157" s="899"/>
    </row>
    <row r="158" spans="1:11" ht="16.5">
      <c r="A158" s="896"/>
      <c r="B158" s="897"/>
      <c r="C158" s="898"/>
      <c r="D158" s="898"/>
      <c r="E158" s="898"/>
      <c r="F158" s="1041"/>
      <c r="G158" s="899"/>
      <c r="H158" s="899"/>
      <c r="I158" s="899"/>
      <c r="J158" s="899"/>
      <c r="K158" s="899"/>
    </row>
    <row r="159" spans="1:11" ht="16.5">
      <c r="A159" s="896"/>
      <c r="B159" s="897"/>
      <c r="C159" s="898"/>
      <c r="D159" s="898"/>
      <c r="E159" s="898"/>
      <c r="F159" s="1041"/>
      <c r="G159" s="899"/>
      <c r="H159" s="899"/>
      <c r="I159" s="899"/>
      <c r="J159" s="899"/>
      <c r="K159" s="899"/>
    </row>
    <row r="160" spans="1:11" ht="16.5">
      <c r="A160" s="896"/>
      <c r="B160" s="897"/>
      <c r="C160" s="898"/>
      <c r="D160" s="898"/>
      <c r="E160" s="898"/>
      <c r="F160" s="1041"/>
      <c r="G160" s="899"/>
      <c r="H160" s="899"/>
      <c r="I160" s="899"/>
      <c r="J160" s="899"/>
      <c r="K160" s="899"/>
    </row>
    <row r="161" spans="1:11" ht="16.5">
      <c r="A161" s="896"/>
      <c r="B161" s="897"/>
      <c r="C161" s="898"/>
      <c r="D161" s="898"/>
      <c r="E161" s="898"/>
      <c r="F161" s="1041"/>
      <c r="G161" s="899"/>
      <c r="H161" s="899"/>
      <c r="I161" s="899"/>
      <c r="J161" s="899"/>
      <c r="K161" s="899"/>
    </row>
    <row r="162" spans="1:11" ht="16.5">
      <c r="A162" s="896"/>
      <c r="B162" s="897"/>
      <c r="C162" s="898"/>
      <c r="D162" s="898"/>
      <c r="E162" s="898"/>
      <c r="F162" s="1041"/>
      <c r="G162" s="899"/>
      <c r="H162" s="899"/>
      <c r="I162" s="899"/>
      <c r="J162" s="899"/>
      <c r="K162" s="899"/>
    </row>
    <row r="163" spans="1:11" ht="16.5">
      <c r="A163" s="896"/>
      <c r="B163" s="897"/>
      <c r="C163" s="898"/>
      <c r="D163" s="898"/>
      <c r="E163" s="898"/>
      <c r="F163" s="1041"/>
      <c r="G163" s="899"/>
      <c r="H163" s="899"/>
      <c r="I163" s="899"/>
      <c r="J163" s="899"/>
      <c r="K163" s="899"/>
    </row>
    <row r="164" spans="1:11" ht="16.5">
      <c r="A164" s="896"/>
      <c r="B164" s="897"/>
      <c r="C164" s="898"/>
      <c r="D164" s="898"/>
      <c r="E164" s="898"/>
      <c r="F164" s="1041"/>
      <c r="G164" s="899"/>
      <c r="H164" s="899"/>
      <c r="I164" s="899"/>
      <c r="J164" s="899"/>
      <c r="K164" s="899"/>
    </row>
    <row r="165" spans="1:11" ht="16.5">
      <c r="A165" s="896"/>
      <c r="B165" s="897"/>
      <c r="C165" s="898"/>
      <c r="D165" s="898"/>
      <c r="E165" s="898"/>
      <c r="F165" s="1041"/>
      <c r="G165" s="899"/>
      <c r="H165" s="899"/>
      <c r="I165" s="899"/>
      <c r="J165" s="899"/>
      <c r="K165" s="899"/>
    </row>
    <row r="166" spans="1:11" ht="16.5">
      <c r="A166" s="896"/>
      <c r="B166" s="897"/>
      <c r="C166" s="898"/>
      <c r="D166" s="898"/>
      <c r="E166" s="898"/>
      <c r="F166" s="1041"/>
      <c r="G166" s="899"/>
      <c r="H166" s="899"/>
      <c r="I166" s="899"/>
      <c r="J166" s="899"/>
      <c r="K166" s="899"/>
    </row>
    <row r="167" spans="1:11" ht="16.5">
      <c r="A167" s="896"/>
      <c r="B167" s="897"/>
      <c r="C167" s="898"/>
      <c r="D167" s="898"/>
      <c r="E167" s="898"/>
      <c r="F167" s="1041"/>
      <c r="G167" s="899"/>
      <c r="H167" s="899"/>
      <c r="I167" s="899"/>
      <c r="J167" s="899"/>
      <c r="K167" s="899"/>
    </row>
    <row r="168" spans="1:11" ht="16.5">
      <c r="A168" s="896"/>
      <c r="B168" s="897"/>
      <c r="C168" s="898"/>
      <c r="D168" s="898"/>
      <c r="E168" s="898"/>
      <c r="F168" s="1041"/>
      <c r="G168" s="899"/>
      <c r="H168" s="899"/>
      <c r="I168" s="899"/>
      <c r="J168" s="899"/>
      <c r="K168" s="899"/>
    </row>
    <row r="169" spans="1:11" ht="16.5">
      <c r="A169" s="896"/>
      <c r="B169" s="897"/>
      <c r="C169" s="898"/>
      <c r="D169" s="898"/>
      <c r="E169" s="898"/>
      <c r="F169" s="1041"/>
      <c r="G169" s="899"/>
      <c r="H169" s="899"/>
      <c r="I169" s="899"/>
      <c r="J169" s="899"/>
      <c r="K169" s="899"/>
    </row>
    <row r="170" spans="1:11" ht="16.5">
      <c r="A170" s="896"/>
      <c r="B170" s="897"/>
      <c r="C170" s="898"/>
      <c r="D170" s="898"/>
      <c r="E170" s="898"/>
      <c r="F170" s="1041"/>
      <c r="G170" s="899"/>
      <c r="H170" s="899"/>
      <c r="I170" s="899"/>
      <c r="J170" s="899"/>
      <c r="K170" s="899"/>
    </row>
    <row r="171" spans="1:11" ht="16.5">
      <c r="A171" s="896"/>
      <c r="B171" s="897"/>
      <c r="C171" s="898"/>
      <c r="D171" s="898"/>
      <c r="E171" s="898"/>
      <c r="F171" s="1041"/>
      <c r="G171" s="899"/>
      <c r="H171" s="899"/>
      <c r="I171" s="899"/>
      <c r="J171" s="899"/>
      <c r="K171" s="899"/>
    </row>
    <row r="172" spans="1:11" ht="16.5">
      <c r="A172" s="896"/>
      <c r="B172" s="897"/>
      <c r="C172" s="898"/>
      <c r="D172" s="898"/>
      <c r="E172" s="898"/>
      <c r="F172" s="1041"/>
      <c r="G172" s="899"/>
      <c r="H172" s="899"/>
      <c r="I172" s="899"/>
      <c r="J172" s="899"/>
      <c r="K172" s="899"/>
    </row>
    <row r="173" spans="1:11" ht="16.5">
      <c r="A173" s="896"/>
      <c r="B173" s="897"/>
      <c r="C173" s="898"/>
      <c r="D173" s="898"/>
      <c r="E173" s="898"/>
      <c r="F173" s="1041"/>
      <c r="G173" s="899"/>
      <c r="H173" s="899"/>
      <c r="I173" s="899"/>
      <c r="J173" s="899"/>
      <c r="K173" s="899"/>
    </row>
    <row r="174" spans="1:11" ht="16.5">
      <c r="A174" s="896"/>
      <c r="B174" s="897"/>
      <c r="C174" s="898"/>
      <c r="D174" s="898"/>
      <c r="E174" s="898"/>
      <c r="F174" s="1041"/>
      <c r="G174" s="899"/>
      <c r="H174" s="899"/>
      <c r="I174" s="899"/>
      <c r="J174" s="899"/>
      <c r="K174" s="899"/>
    </row>
    <row r="175" spans="1:11" ht="16.5">
      <c r="A175" s="896"/>
      <c r="B175" s="897"/>
      <c r="C175" s="898"/>
      <c r="D175" s="898"/>
      <c r="E175" s="898"/>
      <c r="F175" s="1041"/>
      <c r="G175" s="899"/>
      <c r="H175" s="899"/>
      <c r="I175" s="899"/>
      <c r="J175" s="899"/>
      <c r="K175" s="899"/>
    </row>
    <row r="176" spans="1:11" ht="16.5">
      <c r="A176" s="896"/>
      <c r="B176" s="897"/>
      <c r="C176" s="898"/>
      <c r="D176" s="898"/>
      <c r="E176" s="898"/>
      <c r="F176" s="1041"/>
      <c r="G176" s="899"/>
      <c r="H176" s="899"/>
      <c r="I176" s="899"/>
      <c r="J176" s="899"/>
      <c r="K176" s="899"/>
    </row>
    <row r="177" spans="1:11" ht="16.5">
      <c r="A177" s="896"/>
      <c r="B177" s="897"/>
      <c r="C177" s="898"/>
      <c r="D177" s="898"/>
      <c r="E177" s="898"/>
      <c r="F177" s="1041"/>
      <c r="G177" s="899"/>
      <c r="H177" s="899"/>
      <c r="I177" s="899"/>
      <c r="J177" s="899"/>
      <c r="K177" s="899"/>
    </row>
    <row r="178" spans="1:11" ht="16.5">
      <c r="A178" s="896"/>
      <c r="B178" s="897"/>
      <c r="C178" s="898"/>
      <c r="D178" s="898"/>
      <c r="E178" s="898"/>
      <c r="F178" s="1041"/>
      <c r="G178" s="899"/>
      <c r="H178" s="899"/>
      <c r="I178" s="899"/>
      <c r="J178" s="899"/>
      <c r="K178" s="899"/>
    </row>
    <row r="179" spans="1:11" ht="16.5">
      <c r="A179" s="896"/>
      <c r="B179" s="897"/>
      <c r="C179" s="898"/>
      <c r="D179" s="898"/>
      <c r="E179" s="898"/>
      <c r="F179" s="1041"/>
      <c r="G179" s="899"/>
      <c r="H179" s="899"/>
      <c r="I179" s="899"/>
      <c r="J179" s="899"/>
      <c r="K179" s="899"/>
    </row>
    <row r="180" spans="1:11" ht="16.5">
      <c r="A180" s="896"/>
      <c r="B180" s="897"/>
      <c r="C180" s="898"/>
      <c r="D180" s="898"/>
      <c r="E180" s="898"/>
      <c r="F180" s="1041"/>
      <c r="G180" s="899"/>
      <c r="H180" s="899"/>
      <c r="I180" s="899"/>
      <c r="J180" s="899"/>
      <c r="K180" s="899"/>
    </row>
    <row r="181" spans="1:11" ht="16.5">
      <c r="A181" s="896"/>
      <c r="B181" s="897"/>
      <c r="C181" s="898"/>
      <c r="D181" s="898"/>
      <c r="E181" s="898"/>
      <c r="F181" s="1041"/>
      <c r="G181" s="899"/>
      <c r="H181" s="899"/>
      <c r="I181" s="899"/>
      <c r="J181" s="899"/>
      <c r="K181" s="899"/>
    </row>
    <row r="182" spans="1:11" ht="16.5">
      <c r="A182" s="896"/>
      <c r="B182" s="897"/>
      <c r="C182" s="898"/>
      <c r="D182" s="898"/>
      <c r="E182" s="898"/>
      <c r="F182" s="1041"/>
      <c r="G182" s="899"/>
      <c r="H182" s="899"/>
      <c r="I182" s="899"/>
      <c r="J182" s="899"/>
      <c r="K182" s="899"/>
    </row>
    <row r="183" spans="1:11" ht="16.5">
      <c r="A183" s="896"/>
      <c r="B183" s="897"/>
      <c r="C183" s="898"/>
      <c r="D183" s="898"/>
      <c r="E183" s="898"/>
      <c r="F183" s="1041"/>
      <c r="G183" s="899"/>
      <c r="H183" s="899"/>
      <c r="I183" s="899"/>
      <c r="J183" s="899"/>
      <c r="K183" s="899"/>
    </row>
    <row r="184" spans="1:11" ht="16.5">
      <c r="A184" s="896"/>
      <c r="B184" s="897"/>
      <c r="C184" s="898"/>
      <c r="D184" s="898"/>
      <c r="E184" s="898"/>
      <c r="F184" s="1041"/>
      <c r="G184" s="899"/>
      <c r="H184" s="899"/>
      <c r="I184" s="899"/>
      <c r="J184" s="899"/>
      <c r="K184" s="899"/>
    </row>
    <row r="185" spans="1:11" ht="16.5">
      <c r="A185" s="896"/>
      <c r="B185" s="897"/>
      <c r="C185" s="898"/>
      <c r="D185" s="898"/>
      <c r="E185" s="898"/>
      <c r="F185" s="1041"/>
      <c r="G185" s="899"/>
      <c r="H185" s="899"/>
      <c r="I185" s="899"/>
      <c r="J185" s="899"/>
      <c r="K185" s="899"/>
    </row>
    <row r="186" spans="1:11" ht="16.5">
      <c r="A186" s="896"/>
      <c r="B186" s="897"/>
      <c r="C186" s="898"/>
      <c r="D186" s="898"/>
      <c r="E186" s="898"/>
      <c r="F186" s="1041"/>
      <c r="G186" s="899"/>
      <c r="H186" s="899"/>
      <c r="I186" s="899"/>
      <c r="J186" s="899"/>
      <c r="K186" s="899"/>
    </row>
    <row r="187" spans="1:11" ht="16.5">
      <c r="A187" s="896"/>
      <c r="B187" s="897"/>
      <c r="C187" s="898"/>
      <c r="D187" s="898"/>
      <c r="E187" s="898"/>
      <c r="F187" s="1041"/>
      <c r="G187" s="899"/>
      <c r="H187" s="899"/>
      <c r="I187" s="899"/>
      <c r="J187" s="899"/>
      <c r="K187" s="899"/>
    </row>
    <row r="188" spans="1:11" ht="16.5">
      <c r="A188" s="896"/>
      <c r="B188" s="897"/>
      <c r="C188" s="898"/>
      <c r="D188" s="898"/>
      <c r="E188" s="898"/>
      <c r="F188" s="1041"/>
      <c r="G188" s="899"/>
      <c r="H188" s="899"/>
      <c r="I188" s="899"/>
      <c r="J188" s="899"/>
      <c r="K188" s="899"/>
    </row>
    <row r="189" spans="1:11" ht="16.5">
      <c r="A189" s="896"/>
      <c r="B189" s="897"/>
      <c r="C189" s="898"/>
      <c r="D189" s="898"/>
      <c r="E189" s="898"/>
      <c r="F189" s="1041"/>
      <c r="G189" s="899"/>
      <c r="H189" s="899"/>
      <c r="I189" s="899"/>
      <c r="J189" s="899"/>
      <c r="K189" s="899"/>
    </row>
    <row r="190" spans="1:11" ht="16.5">
      <c r="A190" s="896"/>
      <c r="B190" s="897"/>
      <c r="C190" s="898"/>
      <c r="D190" s="898"/>
      <c r="E190" s="898"/>
      <c r="F190" s="1041"/>
      <c r="G190" s="899"/>
      <c r="H190" s="899"/>
      <c r="I190" s="899"/>
      <c r="J190" s="899"/>
      <c r="K190" s="899"/>
    </row>
    <row r="191" spans="1:11" ht="16.5">
      <c r="A191" s="896"/>
      <c r="B191" s="897"/>
      <c r="C191" s="898"/>
      <c r="D191" s="898"/>
      <c r="E191" s="898"/>
      <c r="F191" s="1041"/>
      <c r="G191" s="899"/>
      <c r="H191" s="899"/>
      <c r="I191" s="899"/>
      <c r="J191" s="899"/>
      <c r="K191" s="899"/>
    </row>
    <row r="192" spans="1:11" ht="16.5">
      <c r="A192" s="896"/>
      <c r="B192" s="897"/>
      <c r="C192" s="898"/>
      <c r="D192" s="898"/>
      <c r="E192" s="898"/>
      <c r="F192" s="1041"/>
      <c r="G192" s="899"/>
      <c r="H192" s="899"/>
      <c r="I192" s="899"/>
      <c r="J192" s="899"/>
      <c r="K192" s="899"/>
    </row>
    <row r="193" spans="1:11" ht="16.5">
      <c r="A193" s="896"/>
      <c r="B193" s="897"/>
      <c r="C193" s="898"/>
      <c r="D193" s="898"/>
      <c r="E193" s="898"/>
      <c r="F193" s="1041"/>
      <c r="G193" s="899"/>
      <c r="H193" s="899"/>
      <c r="I193" s="899"/>
      <c r="J193" s="899"/>
      <c r="K193" s="899"/>
    </row>
    <row r="194" spans="1:11" ht="16.5">
      <c r="A194" s="896"/>
      <c r="B194" s="897"/>
      <c r="C194" s="898"/>
      <c r="D194" s="898"/>
      <c r="E194" s="898"/>
      <c r="F194" s="1041"/>
      <c r="G194" s="899"/>
      <c r="H194" s="899"/>
      <c r="I194" s="899"/>
      <c r="J194" s="899"/>
      <c r="K194" s="899"/>
    </row>
    <row r="195" spans="1:11" ht="16.5">
      <c r="A195" s="896"/>
      <c r="B195" s="897"/>
      <c r="C195" s="898"/>
      <c r="D195" s="898"/>
      <c r="E195" s="898"/>
      <c r="F195" s="1041"/>
      <c r="G195" s="899"/>
      <c r="H195" s="899"/>
      <c r="I195" s="899"/>
      <c r="J195" s="899"/>
      <c r="K195" s="899"/>
    </row>
    <row r="196" spans="1:11" ht="16.5">
      <c r="A196" s="896"/>
      <c r="B196" s="897"/>
      <c r="C196" s="898"/>
      <c r="D196" s="898"/>
      <c r="E196" s="898"/>
      <c r="F196" s="1041"/>
      <c r="G196" s="899"/>
      <c r="H196" s="899"/>
      <c r="I196" s="899"/>
      <c r="J196" s="899"/>
      <c r="K196" s="899"/>
    </row>
    <row r="197" spans="1:11" ht="16.5">
      <c r="A197" s="896"/>
      <c r="B197" s="897"/>
      <c r="C197" s="898"/>
      <c r="D197" s="898"/>
      <c r="E197" s="898"/>
      <c r="F197" s="1041"/>
      <c r="G197" s="899"/>
      <c r="H197" s="899"/>
      <c r="I197" s="899"/>
      <c r="J197" s="899"/>
      <c r="K197" s="899"/>
    </row>
    <row r="198" spans="1:11" ht="16.5">
      <c r="A198" s="896"/>
      <c r="B198" s="897"/>
      <c r="C198" s="898"/>
      <c r="D198" s="898"/>
      <c r="E198" s="898"/>
      <c r="F198" s="1041"/>
      <c r="G198" s="899"/>
      <c r="H198" s="899"/>
      <c r="I198" s="899"/>
      <c r="J198" s="899"/>
      <c r="K198" s="899"/>
    </row>
    <row r="199" spans="1:11" ht="16.5">
      <c r="A199" s="896"/>
      <c r="B199" s="897"/>
      <c r="C199" s="898"/>
      <c r="D199" s="898"/>
      <c r="E199" s="898"/>
      <c r="F199" s="1041"/>
      <c r="G199" s="899"/>
      <c r="H199" s="899"/>
      <c r="I199" s="899"/>
      <c r="J199" s="899"/>
      <c r="K199" s="899"/>
    </row>
    <row r="200" spans="1:11" ht="16.5">
      <c r="A200" s="896"/>
      <c r="B200" s="897"/>
      <c r="C200" s="898"/>
      <c r="D200" s="898"/>
      <c r="E200" s="898"/>
      <c r="F200" s="1041"/>
      <c r="G200" s="899"/>
      <c r="H200" s="899"/>
      <c r="I200" s="899"/>
      <c r="J200" s="899"/>
      <c r="K200" s="899"/>
    </row>
    <row r="201" spans="1:11" ht="16.5">
      <c r="A201" s="896"/>
      <c r="B201" s="897"/>
      <c r="C201" s="898"/>
      <c r="D201" s="898"/>
      <c r="E201" s="898"/>
      <c r="F201" s="1041"/>
      <c r="G201" s="899"/>
      <c r="H201" s="899"/>
      <c r="I201" s="899"/>
      <c r="J201" s="899"/>
      <c r="K201" s="899"/>
    </row>
    <row r="202" spans="1:11" ht="16.5">
      <c r="A202" s="896"/>
      <c r="B202" s="897"/>
      <c r="C202" s="898"/>
      <c r="D202" s="898"/>
      <c r="E202" s="898"/>
      <c r="F202" s="1041"/>
      <c r="G202" s="899"/>
      <c r="H202" s="899"/>
      <c r="I202" s="899"/>
      <c r="J202" s="899"/>
      <c r="K202" s="899"/>
    </row>
    <row r="203" spans="1:11" ht="16.5">
      <c r="A203" s="896"/>
      <c r="B203" s="897"/>
      <c r="C203" s="898"/>
      <c r="D203" s="898"/>
      <c r="E203" s="898"/>
      <c r="F203" s="1041"/>
      <c r="G203" s="899"/>
      <c r="H203" s="899"/>
      <c r="I203" s="899"/>
      <c r="J203" s="899"/>
      <c r="K203" s="899"/>
    </row>
    <row r="204" spans="1:11" ht="16.5">
      <c r="A204" s="896"/>
      <c r="B204" s="897"/>
      <c r="C204" s="898"/>
      <c r="D204" s="898"/>
      <c r="E204" s="898"/>
      <c r="F204" s="1041"/>
      <c r="G204" s="899"/>
      <c r="H204" s="899"/>
      <c r="I204" s="899"/>
      <c r="J204" s="899"/>
      <c r="K204" s="899"/>
    </row>
    <row r="205" spans="1:11" ht="16.5">
      <c r="A205" s="896"/>
      <c r="B205" s="897"/>
      <c r="C205" s="898"/>
      <c r="D205" s="898"/>
      <c r="E205" s="898"/>
      <c r="F205" s="1041"/>
      <c r="G205" s="899"/>
      <c r="H205" s="899"/>
      <c r="I205" s="899"/>
      <c r="J205" s="899"/>
      <c r="K205" s="899"/>
    </row>
    <row r="206" spans="1:11" ht="16.5">
      <c r="A206" s="896"/>
      <c r="B206" s="897"/>
      <c r="C206" s="898"/>
      <c r="D206" s="898"/>
      <c r="E206" s="898"/>
      <c r="F206" s="1041"/>
      <c r="G206" s="899"/>
      <c r="H206" s="899"/>
      <c r="I206" s="899"/>
      <c r="J206" s="899"/>
      <c r="K206" s="899"/>
    </row>
    <row r="207" spans="1:11" ht="16.5">
      <c r="A207" s="896"/>
      <c r="B207" s="897"/>
      <c r="C207" s="898"/>
      <c r="D207" s="898"/>
      <c r="E207" s="898"/>
      <c r="F207" s="1041"/>
      <c r="G207" s="899"/>
      <c r="H207" s="899"/>
      <c r="I207" s="899"/>
      <c r="J207" s="899"/>
      <c r="K207" s="899"/>
    </row>
    <row r="208" spans="1:11" ht="16.5">
      <c r="A208" s="896"/>
      <c r="B208" s="897"/>
      <c r="C208" s="898"/>
      <c r="D208" s="898"/>
      <c r="E208" s="898"/>
      <c r="F208" s="1041"/>
      <c r="G208" s="899"/>
      <c r="H208" s="899"/>
      <c r="I208" s="899"/>
      <c r="J208" s="899"/>
      <c r="K208" s="899"/>
    </row>
    <row r="209" spans="1:11" ht="16.5">
      <c r="A209" s="896"/>
      <c r="B209" s="897"/>
      <c r="C209" s="898"/>
      <c r="D209" s="898"/>
      <c r="E209" s="898"/>
      <c r="F209" s="1041"/>
      <c r="G209" s="899"/>
      <c r="H209" s="899"/>
      <c r="I209" s="899"/>
      <c r="J209" s="899"/>
      <c r="K209" s="899"/>
    </row>
    <row r="210" spans="1:11" ht="16.5">
      <c r="A210" s="896"/>
      <c r="B210" s="897"/>
      <c r="C210" s="898"/>
      <c r="D210" s="898"/>
      <c r="E210" s="898"/>
      <c r="F210" s="1041"/>
      <c r="G210" s="899"/>
      <c r="H210" s="899"/>
      <c r="I210" s="899"/>
      <c r="J210" s="899"/>
      <c r="K210" s="899"/>
    </row>
    <row r="211" spans="1:11" ht="16.5">
      <c r="A211" s="896"/>
      <c r="B211" s="897"/>
      <c r="C211" s="898"/>
      <c r="D211" s="898"/>
      <c r="E211" s="898"/>
      <c r="F211" s="1041"/>
      <c r="G211" s="899"/>
      <c r="H211" s="899"/>
      <c r="I211" s="899"/>
      <c r="J211" s="899"/>
      <c r="K211" s="899"/>
    </row>
    <row r="212" spans="1:11" ht="16.5">
      <c r="A212" s="896"/>
      <c r="B212" s="897"/>
      <c r="C212" s="898"/>
      <c r="D212" s="898"/>
      <c r="E212" s="898"/>
      <c r="F212" s="1041"/>
      <c r="G212" s="899"/>
      <c r="H212" s="899"/>
      <c r="I212" s="899"/>
      <c r="J212" s="899"/>
      <c r="K212" s="899"/>
    </row>
    <row r="213" spans="1:11" ht="16.5">
      <c r="A213" s="896"/>
      <c r="B213" s="897"/>
      <c r="C213" s="898"/>
      <c r="D213" s="898"/>
      <c r="E213" s="898"/>
      <c r="F213" s="1041"/>
      <c r="G213" s="899"/>
      <c r="H213" s="899"/>
      <c r="I213" s="899"/>
      <c r="J213" s="899"/>
      <c r="K213" s="899"/>
    </row>
    <row r="214" spans="1:11" ht="16.5">
      <c r="A214" s="896"/>
      <c r="B214" s="897"/>
      <c r="C214" s="898"/>
      <c r="D214" s="898"/>
      <c r="E214" s="898"/>
      <c r="F214" s="1041"/>
      <c r="G214" s="899"/>
      <c r="H214" s="899"/>
      <c r="I214" s="899"/>
      <c r="J214" s="899"/>
      <c r="K214" s="899"/>
    </row>
    <row r="215" spans="1:11" ht="16.5">
      <c r="A215" s="896"/>
      <c r="B215" s="897"/>
      <c r="C215" s="898"/>
      <c r="D215" s="898"/>
      <c r="E215" s="898"/>
      <c r="F215" s="1041"/>
      <c r="G215" s="899"/>
      <c r="H215" s="899"/>
      <c r="I215" s="899"/>
      <c r="J215" s="899"/>
      <c r="K215" s="899"/>
    </row>
    <row r="216" spans="1:11" ht="16.5">
      <c r="A216" s="896"/>
      <c r="B216" s="897"/>
      <c r="C216" s="898"/>
      <c r="D216" s="898"/>
      <c r="E216" s="898"/>
      <c r="F216" s="1041"/>
      <c r="G216" s="899"/>
      <c r="H216" s="899"/>
      <c r="I216" s="899"/>
      <c r="J216" s="899"/>
      <c r="K216" s="899"/>
    </row>
    <row r="217" spans="1:11" ht="16.5">
      <c r="A217" s="896"/>
      <c r="B217" s="897"/>
      <c r="C217" s="898"/>
      <c r="D217" s="898"/>
      <c r="E217" s="898"/>
      <c r="F217" s="1041"/>
      <c r="G217" s="899"/>
      <c r="H217" s="899"/>
      <c r="I217" s="899"/>
      <c r="J217" s="899"/>
      <c r="K217" s="899"/>
    </row>
    <row r="218" spans="1:11" ht="16.5">
      <c r="A218" s="896"/>
      <c r="B218" s="897"/>
      <c r="C218" s="898"/>
      <c r="D218" s="898"/>
      <c r="E218" s="898"/>
      <c r="F218" s="1041"/>
      <c r="G218" s="899"/>
      <c r="H218" s="899"/>
      <c r="I218" s="899"/>
      <c r="J218" s="899"/>
      <c r="K218" s="899"/>
    </row>
    <row r="219" spans="1:11" ht="16.5">
      <c r="A219" s="896"/>
      <c r="B219" s="897"/>
      <c r="C219" s="898"/>
      <c r="D219" s="898"/>
      <c r="E219" s="898"/>
      <c r="F219" s="1041"/>
      <c r="G219" s="899"/>
      <c r="H219" s="899"/>
      <c r="I219" s="899"/>
      <c r="J219" s="899"/>
      <c r="K219" s="899"/>
    </row>
    <row r="220" spans="1:11" ht="16.5">
      <c r="A220" s="896"/>
      <c r="B220" s="897"/>
      <c r="C220" s="898"/>
      <c r="D220" s="898"/>
      <c r="E220" s="898"/>
      <c r="F220" s="1041"/>
      <c r="G220" s="899"/>
      <c r="H220" s="899"/>
      <c r="I220" s="899"/>
      <c r="J220" s="899"/>
      <c r="K220" s="899"/>
    </row>
    <row r="221" spans="1:11" ht="16.5">
      <c r="A221" s="896"/>
      <c r="B221" s="897"/>
      <c r="C221" s="898"/>
      <c r="D221" s="898"/>
      <c r="E221" s="898"/>
      <c r="F221" s="1041"/>
      <c r="G221" s="899"/>
      <c r="H221" s="899"/>
      <c r="I221" s="899"/>
      <c r="J221" s="899"/>
      <c r="K221" s="899"/>
    </row>
    <row r="222" spans="1:11" ht="16.5">
      <c r="A222" s="896"/>
      <c r="B222" s="897"/>
      <c r="C222" s="898"/>
      <c r="D222" s="898"/>
      <c r="E222" s="898"/>
      <c r="F222" s="1041"/>
      <c r="G222" s="899"/>
      <c r="H222" s="899"/>
      <c r="I222" s="899"/>
      <c r="J222" s="899"/>
      <c r="K222" s="899"/>
    </row>
    <row r="223" spans="1:11" ht="16.5">
      <c r="A223" s="896"/>
      <c r="B223" s="897"/>
      <c r="C223" s="898"/>
      <c r="D223" s="898"/>
      <c r="E223" s="898"/>
      <c r="F223" s="1041"/>
      <c r="G223" s="899"/>
      <c r="H223" s="899"/>
      <c r="I223" s="899"/>
      <c r="J223" s="899"/>
      <c r="K223" s="899"/>
    </row>
    <row r="224" spans="1:11" ht="16.5">
      <c r="A224" s="896"/>
      <c r="B224" s="897"/>
      <c r="C224" s="898"/>
      <c r="D224" s="898"/>
      <c r="E224" s="898"/>
      <c r="F224" s="1041"/>
      <c r="G224" s="899"/>
      <c r="H224" s="899"/>
      <c r="I224" s="899"/>
      <c r="J224" s="899"/>
      <c r="K224" s="899"/>
    </row>
    <row r="225" spans="1:11" ht="16.5">
      <c r="A225" s="896"/>
      <c r="B225" s="897"/>
      <c r="C225" s="898"/>
      <c r="D225" s="898"/>
      <c r="E225" s="898"/>
      <c r="F225" s="1041"/>
      <c r="G225" s="899"/>
      <c r="H225" s="899"/>
      <c r="I225" s="899"/>
      <c r="J225" s="899"/>
      <c r="K225" s="899"/>
    </row>
    <row r="226" spans="1:11" ht="16.5">
      <c r="A226" s="896"/>
      <c r="B226" s="897"/>
      <c r="C226" s="898"/>
      <c r="D226" s="898"/>
      <c r="E226" s="898"/>
      <c r="F226" s="1041"/>
      <c r="G226" s="899"/>
      <c r="H226" s="899"/>
      <c r="I226" s="899"/>
      <c r="J226" s="899"/>
      <c r="K226" s="899"/>
    </row>
    <row r="227" spans="1:11" ht="16.5">
      <c r="A227" s="896"/>
      <c r="B227" s="897"/>
      <c r="C227" s="898"/>
      <c r="D227" s="898"/>
      <c r="E227" s="898"/>
      <c r="F227" s="1041"/>
      <c r="G227" s="899"/>
      <c r="H227" s="899"/>
      <c r="I227" s="899"/>
      <c r="J227" s="899"/>
      <c r="K227" s="899"/>
    </row>
    <row r="228" spans="1:11" ht="16.5">
      <c r="A228" s="896"/>
      <c r="B228" s="897"/>
      <c r="C228" s="898"/>
      <c r="D228" s="898"/>
      <c r="E228" s="898"/>
      <c r="F228" s="1041"/>
      <c r="G228" s="899"/>
      <c r="H228" s="899"/>
      <c r="I228" s="899"/>
      <c r="J228" s="899"/>
      <c r="K228" s="899"/>
    </row>
    <row r="229" spans="1:11" ht="16.5">
      <c r="A229" s="896"/>
      <c r="B229" s="897"/>
      <c r="C229" s="898"/>
      <c r="D229" s="898"/>
      <c r="E229" s="898"/>
      <c r="F229" s="1041"/>
      <c r="G229" s="899"/>
      <c r="H229" s="899"/>
      <c r="I229" s="899"/>
      <c r="J229" s="899"/>
      <c r="K229" s="899"/>
    </row>
    <row r="230" spans="1:11" ht="16.5">
      <c r="A230" s="896"/>
      <c r="B230" s="897"/>
      <c r="C230" s="898"/>
      <c r="D230" s="898"/>
      <c r="E230" s="898"/>
      <c r="F230" s="1041"/>
      <c r="G230" s="899"/>
      <c r="H230" s="899"/>
      <c r="I230" s="899"/>
      <c r="J230" s="899"/>
      <c r="K230" s="899"/>
    </row>
    <row r="231" spans="1:11" ht="16.5">
      <c r="A231" s="896"/>
      <c r="B231" s="897"/>
      <c r="C231" s="898"/>
      <c r="D231" s="898"/>
      <c r="E231" s="898"/>
      <c r="F231" s="1041"/>
      <c r="G231" s="899"/>
      <c r="H231" s="899"/>
      <c r="I231" s="899"/>
      <c r="J231" s="899"/>
      <c r="K231" s="899"/>
    </row>
    <row r="232" spans="1:11" ht="16.5">
      <c r="A232" s="896"/>
      <c r="B232" s="897"/>
      <c r="C232" s="898"/>
      <c r="D232" s="898"/>
      <c r="E232" s="898"/>
      <c r="F232" s="1041"/>
      <c r="G232" s="899"/>
      <c r="H232" s="899"/>
      <c r="I232" s="899"/>
      <c r="J232" s="899"/>
      <c r="K232" s="899"/>
    </row>
    <row r="233" spans="1:11" ht="16.5">
      <c r="A233" s="896"/>
      <c r="B233" s="897"/>
      <c r="C233" s="898"/>
      <c r="D233" s="898"/>
      <c r="E233" s="898"/>
      <c r="F233" s="1041"/>
      <c r="G233" s="899"/>
      <c r="H233" s="899"/>
      <c r="I233" s="899"/>
      <c r="J233" s="899"/>
      <c r="K233" s="899"/>
    </row>
    <row r="234" spans="1:11" ht="16.5">
      <c r="A234" s="896"/>
      <c r="B234" s="897"/>
      <c r="C234" s="898"/>
      <c r="D234" s="898"/>
      <c r="E234" s="898"/>
      <c r="F234" s="1041"/>
      <c r="G234" s="899"/>
      <c r="H234" s="899"/>
      <c r="I234" s="899"/>
      <c r="J234" s="899"/>
      <c r="K234" s="899"/>
    </row>
    <row r="235" spans="1:11" ht="16.5">
      <c r="A235" s="896"/>
      <c r="B235" s="897"/>
      <c r="C235" s="898"/>
      <c r="D235" s="898"/>
      <c r="E235" s="898"/>
      <c r="F235" s="1041"/>
      <c r="G235" s="899"/>
      <c r="H235" s="899"/>
      <c r="I235" s="899"/>
      <c r="J235" s="899"/>
      <c r="K235" s="899"/>
    </row>
    <row r="236" spans="1:11" ht="16.5">
      <c r="A236" s="896"/>
      <c r="B236" s="897"/>
      <c r="C236" s="898"/>
      <c r="D236" s="898"/>
      <c r="E236" s="898"/>
      <c r="F236" s="1041"/>
      <c r="G236" s="899"/>
      <c r="H236" s="899"/>
      <c r="I236" s="899"/>
      <c r="J236" s="899"/>
      <c r="K236" s="899"/>
    </row>
    <row r="237" spans="1:11" ht="16.5">
      <c r="A237" s="896"/>
      <c r="B237" s="897"/>
      <c r="C237" s="898"/>
      <c r="D237" s="898"/>
      <c r="E237" s="898"/>
      <c r="F237" s="1041"/>
      <c r="G237" s="899"/>
      <c r="H237" s="899"/>
      <c r="I237" s="899"/>
      <c r="J237" s="899"/>
      <c r="K237" s="899"/>
    </row>
    <row r="238" spans="1:11" ht="16.5">
      <c r="A238" s="896"/>
      <c r="B238" s="897"/>
      <c r="C238" s="898"/>
      <c r="D238" s="898"/>
      <c r="E238" s="898"/>
      <c r="F238" s="1041"/>
      <c r="G238" s="899"/>
      <c r="H238" s="899"/>
      <c r="I238" s="899"/>
      <c r="J238" s="899"/>
      <c r="K238" s="899"/>
    </row>
    <row r="239" spans="1:11" ht="16.5">
      <c r="A239" s="896"/>
      <c r="B239" s="897"/>
      <c r="C239" s="898"/>
      <c r="D239" s="898"/>
      <c r="E239" s="898"/>
      <c r="F239" s="1041"/>
      <c r="G239" s="899"/>
      <c r="H239" s="899"/>
      <c r="I239" s="899"/>
      <c r="J239" s="899"/>
      <c r="K239" s="899"/>
    </row>
    <row r="240" spans="1:11" ht="16.5">
      <c r="A240" s="896"/>
      <c r="B240" s="897"/>
      <c r="C240" s="898"/>
      <c r="D240" s="898"/>
      <c r="E240" s="898"/>
      <c r="F240" s="1041"/>
      <c r="G240" s="899"/>
      <c r="H240" s="899"/>
      <c r="I240" s="899"/>
      <c r="J240" s="899"/>
      <c r="K240" s="899"/>
    </row>
    <row r="241" spans="1:11" ht="16.5">
      <c r="A241" s="896"/>
      <c r="B241" s="897"/>
      <c r="C241" s="898"/>
      <c r="D241" s="898"/>
      <c r="E241" s="898"/>
      <c r="F241" s="1041"/>
      <c r="G241" s="899"/>
      <c r="H241" s="899"/>
      <c r="I241" s="899"/>
      <c r="J241" s="899"/>
      <c r="K241" s="899"/>
    </row>
    <row r="242" spans="1:11" ht="16.5">
      <c r="A242" s="896"/>
      <c r="B242" s="897"/>
      <c r="C242" s="898"/>
      <c r="D242" s="898"/>
      <c r="E242" s="898"/>
      <c r="F242" s="1041"/>
      <c r="G242" s="899"/>
      <c r="H242" s="899"/>
      <c r="I242" s="899"/>
      <c r="J242" s="899"/>
      <c r="K242" s="899"/>
    </row>
    <row r="243" spans="1:11" ht="16.5">
      <c r="A243" s="896"/>
      <c r="B243" s="897"/>
      <c r="C243" s="898"/>
      <c r="D243" s="898"/>
      <c r="E243" s="898"/>
      <c r="F243" s="1041"/>
      <c r="G243" s="899"/>
      <c r="H243" s="899"/>
      <c r="I243" s="899"/>
      <c r="J243" s="899"/>
      <c r="K243" s="899"/>
    </row>
    <row r="244" spans="1:11" ht="16.5">
      <c r="A244" s="896"/>
      <c r="B244" s="897"/>
      <c r="C244" s="898"/>
      <c r="D244" s="898"/>
      <c r="E244" s="898"/>
      <c r="F244" s="1041"/>
      <c r="G244" s="899"/>
      <c r="H244" s="899"/>
      <c r="I244" s="899"/>
      <c r="J244" s="899"/>
      <c r="K244" s="899"/>
    </row>
    <row r="245" spans="1:11" ht="16.5">
      <c r="A245" s="896"/>
      <c r="B245" s="897"/>
      <c r="C245" s="898"/>
      <c r="D245" s="898"/>
      <c r="E245" s="898"/>
      <c r="F245" s="1041"/>
      <c r="G245" s="899"/>
      <c r="H245" s="899"/>
      <c r="I245" s="899"/>
      <c r="J245" s="899"/>
      <c r="K245" s="899"/>
    </row>
  </sheetData>
  <sheetProtection/>
  <mergeCells count="4">
    <mergeCell ref="B2:K2"/>
    <mergeCell ref="J1:K1"/>
    <mergeCell ref="B38:D38"/>
    <mergeCell ref="A3:K3"/>
  </mergeCells>
  <printOptions horizontalCentered="1"/>
  <pageMargins left="0.708661417322835" right="0.47244094488189" top="0.62" bottom="0.866141732283465" header="0.33" footer="0.590551181102362"/>
  <pageSetup fitToHeight="0" fitToWidth="1" horizontalDpi="600" verticalDpi="600" orientation="landscape" paperSize="9" scale="74" r:id="rId1"/>
  <headerFooter alignWithMargins="0">
    <oddFooter>&amp;R&amp;"Times New Roman,Regular"&amp;12&amp;P/&amp;N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2"/>
  <sheetViews>
    <sheetView view="pageBreakPreview" zoomScale="85" zoomScaleNormal="70" zoomScaleSheetLayoutView="85" zoomScalePageLayoutView="0" workbookViewId="0" topLeftCell="A4">
      <selection activeCell="K29" sqref="K29"/>
    </sheetView>
  </sheetViews>
  <sheetFormatPr defaultColWidth="9.140625" defaultRowHeight="12.75"/>
  <cols>
    <col min="1" max="1" width="5.8515625" style="834" customWidth="1"/>
    <col min="2" max="2" width="37.8515625" style="806" customWidth="1"/>
    <col min="3" max="3" width="14.8515625" style="1046" customWidth="1"/>
    <col min="4" max="5" width="14.57421875" style="834" customWidth="1"/>
    <col min="6" max="8" width="13.140625" style="805" customWidth="1"/>
    <col min="9" max="9" width="13.140625" style="834" customWidth="1"/>
    <col min="10" max="10" width="15.421875" style="805" customWidth="1"/>
    <col min="11" max="11" width="20.57421875" style="805" customWidth="1"/>
    <col min="12" max="12" width="14.421875" style="805" customWidth="1"/>
    <col min="13" max="13" width="14.28125" style="805" customWidth="1"/>
    <col min="14" max="14" width="13.8515625" style="805" customWidth="1"/>
    <col min="15" max="15" width="14.8515625" style="805" customWidth="1"/>
    <col min="16" max="16" width="18.140625" style="805" customWidth="1"/>
    <col min="17" max="17" width="14.8515625" style="805" customWidth="1"/>
    <col min="18" max="20" width="9.140625" style="805" customWidth="1"/>
    <col min="21" max="21" width="11.57421875" style="805" bestFit="1" customWidth="1"/>
    <col min="22" max="16384" width="9.140625" style="805" customWidth="1"/>
  </cols>
  <sheetData>
    <row r="1" spans="2:11" s="920" customFormat="1" ht="36.75" customHeight="1">
      <c r="B1" s="859" t="s">
        <v>553</v>
      </c>
      <c r="C1" s="921"/>
      <c r="D1" s="921"/>
      <c r="E1" s="921"/>
      <c r="I1" s="922" t="s">
        <v>342</v>
      </c>
      <c r="J1" s="1217" t="s">
        <v>331</v>
      </c>
      <c r="K1" s="1217"/>
    </row>
    <row r="2" spans="1:11" ht="36.75" customHeight="1">
      <c r="A2" s="805"/>
      <c r="B2" s="1220" t="s">
        <v>482</v>
      </c>
      <c r="C2" s="1220"/>
      <c r="D2" s="1220"/>
      <c r="E2" s="1220"/>
      <c r="F2" s="1220"/>
      <c r="G2" s="1220"/>
      <c r="H2" s="1220"/>
      <c r="I2" s="1220"/>
      <c r="J2" s="1220"/>
      <c r="K2" s="1220"/>
    </row>
    <row r="3" spans="1:11" ht="39" customHeight="1">
      <c r="A3" s="1218" t="s">
        <v>554</v>
      </c>
      <c r="B3" s="1219"/>
      <c r="C3" s="1219"/>
      <c r="D3" s="1219"/>
      <c r="E3" s="1219"/>
      <c r="F3" s="1219"/>
      <c r="G3" s="1219"/>
      <c r="H3" s="1219"/>
      <c r="I3" s="1219"/>
      <c r="J3" s="1219"/>
      <c r="K3" s="1219"/>
    </row>
    <row r="4" spans="1:11" s="809" customFormat="1" ht="54" customHeight="1">
      <c r="A4" s="807" t="s">
        <v>0</v>
      </c>
      <c r="B4" s="807" t="s">
        <v>557</v>
      </c>
      <c r="C4" s="807" t="s">
        <v>184</v>
      </c>
      <c r="D4" s="808" t="s">
        <v>332</v>
      </c>
      <c r="E4" s="808" t="s">
        <v>348</v>
      </c>
      <c r="F4" s="808" t="s">
        <v>333</v>
      </c>
      <c r="G4" s="808" t="s">
        <v>334</v>
      </c>
      <c r="H4" s="808" t="s">
        <v>335</v>
      </c>
      <c r="I4" s="808" t="s">
        <v>336</v>
      </c>
      <c r="J4" s="808" t="s">
        <v>337</v>
      </c>
      <c r="K4" s="808" t="s">
        <v>338</v>
      </c>
    </row>
    <row r="5" spans="1:21" s="812" customFormat="1" ht="52.5" customHeight="1">
      <c r="A5" s="810"/>
      <c r="B5" s="808" t="s">
        <v>215</v>
      </c>
      <c r="C5" s="811" t="s">
        <v>558</v>
      </c>
      <c r="D5" s="989">
        <f aca="true" t="shared" si="0" ref="D5:J5">D10+D15+D20+D23+D26+D29+D32</f>
        <v>33.615</v>
      </c>
      <c r="E5" s="989">
        <f t="shared" si="0"/>
        <v>7.2059999999999995</v>
      </c>
      <c r="F5" s="989">
        <f t="shared" si="0"/>
        <v>8.094199999999999</v>
      </c>
      <c r="G5" s="632">
        <f t="shared" si="0"/>
        <v>9.08241</v>
      </c>
      <c r="H5" s="632">
        <f t="shared" si="0"/>
        <v>10.175759499999998</v>
      </c>
      <c r="I5" s="632">
        <f t="shared" si="0"/>
        <v>11.387210224999997</v>
      </c>
      <c r="J5" s="632">
        <f t="shared" si="0"/>
        <v>12.731387238749997</v>
      </c>
      <c r="K5" s="633">
        <f>SUM(F5:J5)</f>
        <v>51.47096696374999</v>
      </c>
      <c r="T5" s="813"/>
      <c r="U5" s="813"/>
    </row>
    <row r="6" spans="1:11" s="816" customFormat="1" ht="39.75" customHeight="1">
      <c r="A6" s="814"/>
      <c r="B6" s="815" t="s">
        <v>559</v>
      </c>
      <c r="C6" s="811" t="s">
        <v>308</v>
      </c>
      <c r="D6" s="634"/>
      <c r="E6" s="634"/>
      <c r="F6" s="635"/>
      <c r="G6" s="634"/>
      <c r="H6" s="636"/>
      <c r="I6" s="634"/>
      <c r="J6" s="635"/>
      <c r="K6" s="636"/>
    </row>
    <row r="7" spans="1:11" s="816" customFormat="1" ht="27" customHeight="1">
      <c r="A7" s="814"/>
      <c r="B7" s="817" t="s">
        <v>473</v>
      </c>
      <c r="C7" s="811" t="s">
        <v>308</v>
      </c>
      <c r="D7" s="634"/>
      <c r="E7" s="634"/>
      <c r="F7" s="635"/>
      <c r="G7" s="634"/>
      <c r="H7" s="636"/>
      <c r="I7" s="634"/>
      <c r="J7" s="635"/>
      <c r="K7" s="636"/>
    </row>
    <row r="8" spans="1:12" s="816" customFormat="1" ht="45" customHeight="1">
      <c r="A8" s="814"/>
      <c r="B8" s="815" t="s">
        <v>560</v>
      </c>
      <c r="C8" s="811"/>
      <c r="D8" s="634"/>
      <c r="E8" s="634"/>
      <c r="F8" s="635"/>
      <c r="G8" s="634"/>
      <c r="H8" s="636"/>
      <c r="I8" s="634"/>
      <c r="J8" s="635"/>
      <c r="K8" s="636"/>
      <c r="L8" s="1167">
        <f>F10+F15+F20</f>
        <v>2.1757999999999997</v>
      </c>
    </row>
    <row r="9" spans="1:17" s="816" customFormat="1" ht="35.25" customHeight="1">
      <c r="A9" s="814"/>
      <c r="B9" s="817" t="s">
        <v>473</v>
      </c>
      <c r="C9" s="811"/>
      <c r="D9" s="634"/>
      <c r="E9" s="634"/>
      <c r="F9" s="867">
        <f>F10+F20</f>
        <v>1.7502999999999995</v>
      </c>
      <c r="G9" s="867">
        <f>G10+G20</f>
        <v>2.012844999999999</v>
      </c>
      <c r="H9" s="867">
        <f>H10+H20</f>
        <v>2.3147717499999994</v>
      </c>
      <c r="I9" s="867">
        <f>I10+I20</f>
        <v>2.661987512499999</v>
      </c>
      <c r="J9" s="867">
        <f>J10+J20</f>
        <v>3.0612856393749985</v>
      </c>
      <c r="K9" s="941">
        <f>SUM(F9:J9)</f>
        <v>11.801189901874997</v>
      </c>
      <c r="L9" s="818"/>
      <c r="M9" s="818"/>
      <c r="N9" s="818"/>
      <c r="O9" s="818"/>
      <c r="P9" s="818"/>
      <c r="Q9" s="818"/>
    </row>
    <row r="10" spans="1:17" s="812" customFormat="1" ht="45" customHeight="1">
      <c r="A10" s="810">
        <v>1</v>
      </c>
      <c r="B10" s="819" t="s">
        <v>561</v>
      </c>
      <c r="C10" s="811" t="s">
        <v>558</v>
      </c>
      <c r="D10" s="987">
        <v>7.290075133000001</v>
      </c>
      <c r="E10" s="988">
        <v>1.4119999999999997</v>
      </c>
      <c r="F10" s="989">
        <f>E10*1.15</f>
        <v>1.6237999999999995</v>
      </c>
      <c r="G10" s="989">
        <f>F10*1.15</f>
        <v>1.8673699999999993</v>
      </c>
      <c r="H10" s="989">
        <f>G10*1.15</f>
        <v>2.147475499999999</v>
      </c>
      <c r="I10" s="989">
        <f>H10*1.15</f>
        <v>2.469596824999999</v>
      </c>
      <c r="J10" s="989">
        <f>I10*1.15</f>
        <v>2.8400363487499987</v>
      </c>
      <c r="K10" s="633">
        <f>SUM(F10:J10)</f>
        <v>10.948278673749995</v>
      </c>
      <c r="L10" s="850">
        <f>K10+K15+K20+K23</f>
        <v>17.170073123749994</v>
      </c>
      <c r="M10" s="813">
        <f>L10+K32</f>
        <v>26.027962713749993</v>
      </c>
      <c r="N10" s="813"/>
      <c r="O10" s="813"/>
      <c r="P10" s="813"/>
      <c r="Q10" s="813"/>
    </row>
    <row r="11" spans="1:11" s="812" customFormat="1" ht="45" customHeight="1" hidden="1">
      <c r="A11" s="810"/>
      <c r="B11" s="819" t="s">
        <v>555</v>
      </c>
      <c r="C11" s="811"/>
      <c r="D11" s="402"/>
      <c r="E11" s="402"/>
      <c r="F11" s="632" t="e">
        <f>#REF!</f>
        <v>#REF!</v>
      </c>
      <c r="G11" s="632" t="e">
        <f>#REF!</f>
        <v>#REF!</v>
      </c>
      <c r="H11" s="632" t="e">
        <f>#REF!</f>
        <v>#REF!</v>
      </c>
      <c r="I11" s="632" t="e">
        <f>#REF!</f>
        <v>#REF!</v>
      </c>
      <c r="J11" s="632" t="e">
        <f>#REF!</f>
        <v>#REF!</v>
      </c>
      <c r="K11" s="633" t="e">
        <f>SUM(F11:J11)</f>
        <v>#REF!</v>
      </c>
    </row>
    <row r="12" spans="1:11" s="812" customFormat="1" ht="45" customHeight="1" hidden="1">
      <c r="A12" s="810"/>
      <c r="B12" s="819" t="s">
        <v>556</v>
      </c>
      <c r="C12" s="811"/>
      <c r="D12" s="402"/>
      <c r="E12" s="402"/>
      <c r="F12" s="632" t="e">
        <f>#REF!</f>
        <v>#REF!</v>
      </c>
      <c r="G12" s="401" t="e">
        <f>#REF!</f>
        <v>#REF!</v>
      </c>
      <c r="H12" s="633" t="e">
        <f>#REF!</f>
        <v>#REF!</v>
      </c>
      <c r="I12" s="401" t="e">
        <f>#REF!</f>
        <v>#REF!</v>
      </c>
      <c r="J12" s="632" t="e">
        <f>#REF!</f>
        <v>#REF!</v>
      </c>
      <c r="K12" s="633" t="e">
        <f>SUM(F12:J12)</f>
        <v>#REF!</v>
      </c>
    </row>
    <row r="13" spans="1:17" s="816" customFormat="1" ht="26.25" customHeight="1">
      <c r="A13" s="814"/>
      <c r="B13" s="817" t="s">
        <v>562</v>
      </c>
      <c r="C13" s="811" t="s">
        <v>308</v>
      </c>
      <c r="D13" s="634"/>
      <c r="E13" s="634"/>
      <c r="F13" s="637">
        <f aca="true" t="shared" si="1" ref="F13:K13">F10/F5*100</f>
        <v>20.061278446294875</v>
      </c>
      <c r="G13" s="637">
        <f t="shared" si="1"/>
        <v>20.560291816819536</v>
      </c>
      <c r="H13" s="637">
        <f t="shared" si="1"/>
        <v>21.103835050346852</v>
      </c>
      <c r="I13" s="637">
        <f t="shared" si="1"/>
        <v>21.687461425610064</v>
      </c>
      <c r="J13" s="637">
        <f t="shared" si="1"/>
        <v>22.30735972043877</v>
      </c>
      <c r="K13" s="637">
        <f t="shared" si="1"/>
        <v>21.27078490959895</v>
      </c>
      <c r="L13" s="818"/>
      <c r="M13" s="818"/>
      <c r="N13" s="818"/>
      <c r="O13" s="818"/>
      <c r="P13" s="818"/>
      <c r="Q13" s="818"/>
    </row>
    <row r="14" spans="1:11" s="816" customFormat="1" ht="26.25" customHeight="1">
      <c r="A14" s="814"/>
      <c r="B14" s="817" t="s">
        <v>473</v>
      </c>
      <c r="C14" s="811" t="s">
        <v>308</v>
      </c>
      <c r="D14" s="634"/>
      <c r="E14" s="634"/>
      <c r="F14" s="635">
        <f>F10/E10*100-100</f>
        <v>14.999999999999986</v>
      </c>
      <c r="G14" s="635">
        <f>G10/F10*100-100</f>
        <v>14.999999999999986</v>
      </c>
      <c r="H14" s="635">
        <f>H10/G10*100-100</f>
        <v>14.999999999999986</v>
      </c>
      <c r="I14" s="635">
        <f>I10/H10*100-100</f>
        <v>14.999999999999986</v>
      </c>
      <c r="J14" s="635">
        <f>J10/I10*100-100</f>
        <v>14.999999999999986</v>
      </c>
      <c r="K14" s="820">
        <f>((J10/E10)^(1/5))*100-100</f>
        <v>14.999999999999986</v>
      </c>
    </row>
    <row r="15" spans="1:17" s="812" customFormat="1" ht="36.75" customHeight="1">
      <c r="A15" s="810">
        <v>2</v>
      </c>
      <c r="B15" s="821" t="s">
        <v>563</v>
      </c>
      <c r="C15" s="811" t="s">
        <v>558</v>
      </c>
      <c r="D15" s="987">
        <v>4.671</v>
      </c>
      <c r="E15" s="1165">
        <f>0.37</f>
        <v>0.37</v>
      </c>
      <c r="F15" s="989">
        <f>E15*1.15</f>
        <v>0.4255</v>
      </c>
      <c r="G15" s="989">
        <f>F15*1.15</f>
        <v>0.48932499999999995</v>
      </c>
      <c r="H15" s="989">
        <f>G15*1.15</f>
        <v>0.5627237499999999</v>
      </c>
      <c r="I15" s="989">
        <f>H15*1.15</f>
        <v>0.6471323124999998</v>
      </c>
      <c r="J15" s="989">
        <f>I15*1.15</f>
        <v>0.7442021593749997</v>
      </c>
      <c r="K15" s="851">
        <f>SUM(F15:J15)</f>
        <v>2.8688832218749996</v>
      </c>
      <c r="L15" s="946">
        <f>K9+K15</f>
        <v>14.670073123749997</v>
      </c>
      <c r="M15" s="850"/>
      <c r="N15" s="813"/>
      <c r="O15" s="813"/>
      <c r="P15" s="813"/>
      <c r="Q15" s="813"/>
    </row>
    <row r="16" spans="1:11" s="812" customFormat="1" ht="36.75" customHeight="1" hidden="1">
      <c r="A16" s="810"/>
      <c r="B16" s="821" t="s">
        <v>555</v>
      </c>
      <c r="C16" s="811"/>
      <c r="D16" s="402"/>
      <c r="E16" s="822"/>
      <c r="F16" s="823" t="e">
        <f>#REF!</f>
        <v>#REF!</v>
      </c>
      <c r="G16" s="823" t="e">
        <f>#REF!</f>
        <v>#REF!</v>
      </c>
      <c r="H16" s="823" t="e">
        <f>#REF!</f>
        <v>#REF!</v>
      </c>
      <c r="I16" s="823" t="e">
        <f>#REF!</f>
        <v>#REF!</v>
      </c>
      <c r="J16" s="823" t="e">
        <f>#REF!</f>
        <v>#REF!</v>
      </c>
      <c r="K16" s="633" t="e">
        <f>SUM(F16:J16)</f>
        <v>#REF!</v>
      </c>
    </row>
    <row r="17" spans="1:11" s="812" customFormat="1" ht="36.75" customHeight="1" hidden="1">
      <c r="A17" s="810"/>
      <c r="B17" s="821" t="s">
        <v>556</v>
      </c>
      <c r="C17" s="811"/>
      <c r="D17" s="402"/>
      <c r="E17" s="402"/>
      <c r="F17" s="632" t="e">
        <f>#REF!</f>
        <v>#REF!</v>
      </c>
      <c r="G17" s="632" t="e">
        <f>#REF!</f>
        <v>#REF!</v>
      </c>
      <c r="H17" s="632" t="e">
        <f>#REF!</f>
        <v>#REF!</v>
      </c>
      <c r="I17" s="632" t="e">
        <f>#REF!</f>
        <v>#REF!</v>
      </c>
      <c r="J17" s="632" t="e">
        <f>#REF!</f>
        <v>#REF!</v>
      </c>
      <c r="K17" s="633" t="e">
        <f>SUM(F17:J17)</f>
        <v>#REF!</v>
      </c>
    </row>
    <row r="18" spans="1:13" s="816" customFormat="1" ht="30.75" customHeight="1">
      <c r="A18" s="814"/>
      <c r="B18" s="817" t="s">
        <v>562</v>
      </c>
      <c r="C18" s="811" t="s">
        <v>308</v>
      </c>
      <c r="D18" s="634"/>
      <c r="E18" s="634"/>
      <c r="F18" s="635">
        <f aca="true" t="shared" si="2" ref="F18:K18">F15/F5*100</f>
        <v>5.2568505843690545</v>
      </c>
      <c r="G18" s="635">
        <f t="shared" si="2"/>
        <v>5.387611878345065</v>
      </c>
      <c r="H18" s="635">
        <f t="shared" si="2"/>
        <v>5.530041762484657</v>
      </c>
      <c r="I18" s="635">
        <f t="shared" si="2"/>
        <v>5.682975019458728</v>
      </c>
      <c r="J18" s="635">
        <f t="shared" si="2"/>
        <v>5.845412957905344</v>
      </c>
      <c r="K18" s="635">
        <f t="shared" si="2"/>
        <v>5.573789246849586</v>
      </c>
      <c r="M18" s="942"/>
    </row>
    <row r="19" spans="1:11" s="816" customFormat="1" ht="30.75" customHeight="1">
      <c r="A19" s="814"/>
      <c r="B19" s="817" t="s">
        <v>473</v>
      </c>
      <c r="C19" s="811" t="s">
        <v>308</v>
      </c>
      <c r="D19" s="634"/>
      <c r="E19" s="634"/>
      <c r="F19" s="635">
        <f>F15/E15*100-100</f>
        <v>14.999999999999986</v>
      </c>
      <c r="G19" s="635">
        <f>G15/F15*100-100</f>
        <v>14.999999999999986</v>
      </c>
      <c r="H19" s="635">
        <f>H15/G15*100-100</f>
        <v>14.999999999999986</v>
      </c>
      <c r="I19" s="635">
        <f>I15/H15*100-100</f>
        <v>14.999999999999986</v>
      </c>
      <c r="J19" s="635">
        <f>J15/I15*100-100</f>
        <v>14.999999999999986</v>
      </c>
      <c r="K19" s="820">
        <f>((J15/E15)^(1/5))*100-100</f>
        <v>14.999999999999986</v>
      </c>
    </row>
    <row r="20" spans="1:13" s="812" customFormat="1" ht="41.25" customHeight="1">
      <c r="A20" s="810">
        <v>3</v>
      </c>
      <c r="B20" s="821" t="s">
        <v>564</v>
      </c>
      <c r="C20" s="811" t="s">
        <v>558</v>
      </c>
      <c r="D20" s="990">
        <v>0.435924867</v>
      </c>
      <c r="E20" s="1166">
        <v>0.11</v>
      </c>
      <c r="F20" s="989">
        <f>E20*1.15</f>
        <v>0.1265</v>
      </c>
      <c r="G20" s="989">
        <f>F20*1.15</f>
        <v>0.145475</v>
      </c>
      <c r="H20" s="989">
        <f>G20*1.15</f>
        <v>0.16729624999999998</v>
      </c>
      <c r="I20" s="989">
        <f>H20*1.15</f>
        <v>0.19239068749999996</v>
      </c>
      <c r="J20" s="989">
        <f>I20*1.15</f>
        <v>0.22124929062499993</v>
      </c>
      <c r="K20" s="851">
        <f>SUM(F20:J20)</f>
        <v>0.8529112281249998</v>
      </c>
      <c r="L20" s="848"/>
      <c r="M20" s="848"/>
    </row>
    <row r="21" spans="1:11" s="816" customFormat="1" ht="32.25" customHeight="1">
      <c r="A21" s="814"/>
      <c r="B21" s="817" t="s">
        <v>562</v>
      </c>
      <c r="C21" s="811" t="s">
        <v>308</v>
      </c>
      <c r="D21" s="635">
        <f aca="true" t="shared" si="3" ref="D21:K21">D20/D5*100</f>
        <v>1.2968165015618027</v>
      </c>
      <c r="E21" s="634"/>
      <c r="F21" s="635">
        <f t="shared" si="3"/>
        <v>1.5628474710286382</v>
      </c>
      <c r="G21" s="635">
        <f t="shared" si="3"/>
        <v>1.601722450318803</v>
      </c>
      <c r="H21" s="635">
        <f t="shared" si="3"/>
        <v>1.6440664699278713</v>
      </c>
      <c r="I21" s="635">
        <f t="shared" si="3"/>
        <v>1.6895331138931355</v>
      </c>
      <c r="J21" s="635">
        <f t="shared" si="3"/>
        <v>1.737825473971859</v>
      </c>
      <c r="K21" s="635">
        <f t="shared" si="3"/>
        <v>1.6570724787931197</v>
      </c>
    </row>
    <row r="22" spans="1:11" s="816" customFormat="1" ht="32.25" customHeight="1">
      <c r="A22" s="814"/>
      <c r="B22" s="817" t="s">
        <v>473</v>
      </c>
      <c r="C22" s="811" t="s">
        <v>308</v>
      </c>
      <c r="D22" s="634"/>
      <c r="E22" s="634"/>
      <c r="F22" s="635">
        <f>F20/E20*100-100</f>
        <v>14.999999999999986</v>
      </c>
      <c r="G22" s="635">
        <f>G20/F20*100-100</f>
        <v>14.999999999999986</v>
      </c>
      <c r="H22" s="638">
        <f>H20/G20*100-100</f>
        <v>14.999999999999986</v>
      </c>
      <c r="I22" s="635">
        <f>I20/H20*100-100</f>
        <v>14.999999999999986</v>
      </c>
      <c r="J22" s="635">
        <f>J20/I20*100-100</f>
        <v>14.999999999999986</v>
      </c>
      <c r="K22" s="820">
        <f>((J20/E20)^(1/5))*100-100</f>
        <v>14.999999999999986</v>
      </c>
    </row>
    <row r="23" spans="1:14" s="812" customFormat="1" ht="40.5" customHeight="1">
      <c r="A23" s="810">
        <v>4</v>
      </c>
      <c r="B23" s="821" t="s">
        <v>565</v>
      </c>
      <c r="C23" s="811" t="s">
        <v>558</v>
      </c>
      <c r="D23" s="989">
        <v>1.06609</v>
      </c>
      <c r="E23" s="1166">
        <v>0.22</v>
      </c>
      <c r="F23" s="989">
        <v>0.3</v>
      </c>
      <c r="G23" s="401">
        <v>0.4</v>
      </c>
      <c r="H23" s="633">
        <v>0.5</v>
      </c>
      <c r="I23" s="401">
        <v>0.6</v>
      </c>
      <c r="J23" s="632">
        <v>0.7</v>
      </c>
      <c r="K23" s="851">
        <f>SUM(F23:J23)</f>
        <v>2.5</v>
      </c>
      <c r="L23" s="824"/>
      <c r="M23" s="848"/>
      <c r="N23" s="824"/>
    </row>
    <row r="24" spans="1:11" ht="30.75" customHeight="1">
      <c r="A24" s="825"/>
      <c r="B24" s="811" t="s">
        <v>562</v>
      </c>
      <c r="C24" s="811" t="s">
        <v>308</v>
      </c>
      <c r="D24" s="409"/>
      <c r="E24" s="409"/>
      <c r="F24" s="639">
        <f aca="true" t="shared" si="4" ref="F24:K24">F23/F5*100</f>
        <v>3.706357638803094</v>
      </c>
      <c r="G24" s="639">
        <f t="shared" si="4"/>
        <v>4.404117409366017</v>
      </c>
      <c r="H24" s="639">
        <f t="shared" si="4"/>
        <v>4.913638141703331</v>
      </c>
      <c r="I24" s="639">
        <f t="shared" si="4"/>
        <v>5.269069316756204</v>
      </c>
      <c r="J24" s="639">
        <f t="shared" si="4"/>
        <v>5.498222517884295</v>
      </c>
      <c r="K24" s="639">
        <f t="shared" si="4"/>
        <v>4.857107117806242</v>
      </c>
    </row>
    <row r="25" spans="1:11" ht="30.75" customHeight="1">
      <c r="A25" s="825"/>
      <c r="B25" s="811" t="s">
        <v>473</v>
      </c>
      <c r="C25" s="811" t="s">
        <v>308</v>
      </c>
      <c r="D25" s="409"/>
      <c r="E25" s="409"/>
      <c r="F25" s="639">
        <f>F23/E23*100-100</f>
        <v>36.363636363636346</v>
      </c>
      <c r="G25" s="639">
        <f>G23/F23*100-100</f>
        <v>33.33333333333334</v>
      </c>
      <c r="H25" s="639">
        <f>H23/G23*100-100</f>
        <v>25</v>
      </c>
      <c r="I25" s="639">
        <f>I23/H23*100-100</f>
        <v>20</v>
      </c>
      <c r="J25" s="639">
        <f>J23/I23*100-100</f>
        <v>16.66666666666667</v>
      </c>
      <c r="K25" s="639">
        <f>((J23/E23)^(1/5))*100-100</f>
        <v>26.04774247635946</v>
      </c>
    </row>
    <row r="26" spans="1:14" s="829" customFormat="1" ht="42.75" customHeight="1">
      <c r="A26" s="826">
        <v>5</v>
      </c>
      <c r="B26" s="827" t="s">
        <v>566</v>
      </c>
      <c r="C26" s="1045" t="s">
        <v>558</v>
      </c>
      <c r="D26" s="991">
        <v>14.55091</v>
      </c>
      <c r="E26" s="992">
        <v>3.775</v>
      </c>
      <c r="F26" s="1043">
        <v>4.1525</v>
      </c>
      <c r="G26" s="828">
        <v>4.56775</v>
      </c>
      <c r="H26" s="828">
        <v>5.024525</v>
      </c>
      <c r="I26" s="828">
        <v>5.526977499999999</v>
      </c>
      <c r="J26" s="828">
        <v>6.07967525</v>
      </c>
      <c r="K26" s="1171">
        <f>SUM(F26:J26)</f>
        <v>25.35142775</v>
      </c>
      <c r="L26" s="848"/>
      <c r="N26" s="824"/>
    </row>
    <row r="27" spans="1:11" s="816" customFormat="1" ht="39.75" customHeight="1">
      <c r="A27" s="814"/>
      <c r="B27" s="817" t="s">
        <v>562</v>
      </c>
      <c r="C27" s="811" t="s">
        <v>308</v>
      </c>
      <c r="D27" s="635">
        <f aca="true" t="shared" si="5" ref="D27:K27">D26/D5*100</f>
        <v>43.28695522832069</v>
      </c>
      <c r="E27" s="634"/>
      <c r="F27" s="635">
        <f t="shared" si="5"/>
        <v>51.30216698376616</v>
      </c>
      <c r="G27" s="635">
        <f t="shared" si="5"/>
        <v>50.29226824157905</v>
      </c>
      <c r="H27" s="635">
        <f t="shared" si="5"/>
        <v>49.37739536788385</v>
      </c>
      <c r="I27" s="635">
        <f t="shared" si="5"/>
        <v>48.53671259941985</v>
      </c>
      <c r="J27" s="635">
        <f t="shared" si="5"/>
        <v>47.753439087105484</v>
      </c>
      <c r="K27" s="635">
        <f t="shared" si="5"/>
        <v>49.25384006843027</v>
      </c>
    </row>
    <row r="28" spans="1:11" s="816" customFormat="1" ht="39" customHeight="1">
      <c r="A28" s="814"/>
      <c r="B28" s="817" t="s">
        <v>473</v>
      </c>
      <c r="C28" s="811" t="s">
        <v>308</v>
      </c>
      <c r="D28" s="634"/>
      <c r="E28" s="634"/>
      <c r="F28" s="635">
        <f>F26/E26*100-100</f>
        <v>10.000000000000014</v>
      </c>
      <c r="G28" s="635">
        <f>G26/F26*100-100</f>
        <v>10.000000000000014</v>
      </c>
      <c r="H28" s="635">
        <f>H26/G26*100-100</f>
        <v>9.999999999999986</v>
      </c>
      <c r="I28" s="635">
        <f>I26/H26*100-100</f>
        <v>9.999999999999986</v>
      </c>
      <c r="J28" s="635">
        <f>J26/I26*100-100</f>
        <v>10.000000000000014</v>
      </c>
      <c r="K28" s="635">
        <f>((J26/E26)^(1/5))*100-100</f>
        <v>10.000000000000014</v>
      </c>
    </row>
    <row r="29" spans="1:13" s="812" customFormat="1" ht="34.5" customHeight="1">
      <c r="A29" s="810">
        <v>6</v>
      </c>
      <c r="B29" s="821" t="s">
        <v>702</v>
      </c>
      <c r="C29" s="808" t="s">
        <v>558</v>
      </c>
      <c r="D29" s="402"/>
      <c r="E29" s="402"/>
      <c r="F29" s="830">
        <v>0.015</v>
      </c>
      <c r="G29" s="830">
        <v>0.0165</v>
      </c>
      <c r="H29" s="830">
        <v>0.01815</v>
      </c>
      <c r="I29" s="830">
        <v>0.019965</v>
      </c>
      <c r="J29" s="830">
        <v>0.021961500000000002</v>
      </c>
      <c r="K29" s="943">
        <f>F29+G29+H29+I29+J29</f>
        <v>0.0915765</v>
      </c>
      <c r="L29" s="849"/>
      <c r="M29" s="824"/>
    </row>
    <row r="30" spans="1:11" s="816" customFormat="1" ht="32.25" customHeight="1">
      <c r="A30" s="814"/>
      <c r="B30" s="817" t="s">
        <v>562</v>
      </c>
      <c r="C30" s="811" t="s">
        <v>308</v>
      </c>
      <c r="D30" s="634"/>
      <c r="E30" s="634"/>
      <c r="F30" s="1044">
        <f>F29/F5*100</f>
        <v>0.1853178819401547</v>
      </c>
      <c r="G30" s="634"/>
      <c r="H30" s="636"/>
      <c r="I30" s="634"/>
      <c r="J30" s="635"/>
      <c r="K30" s="639">
        <f>K29/K5*100</f>
        <v>0.17791874798951335</v>
      </c>
    </row>
    <row r="31" spans="1:11" s="816" customFormat="1" ht="32.25" customHeight="1">
      <c r="A31" s="814"/>
      <c r="B31" s="817" t="s">
        <v>473</v>
      </c>
      <c r="C31" s="811" t="s">
        <v>308</v>
      </c>
      <c r="D31" s="634"/>
      <c r="E31" s="634"/>
      <c r="F31" s="635"/>
      <c r="G31" s="634"/>
      <c r="H31" s="636"/>
      <c r="I31" s="634"/>
      <c r="J31" s="635"/>
      <c r="K31" s="636"/>
    </row>
    <row r="32" spans="1:11" s="812" customFormat="1" ht="36.75" customHeight="1">
      <c r="A32" s="810">
        <v>7</v>
      </c>
      <c r="B32" s="1164" t="s">
        <v>736</v>
      </c>
      <c r="C32" s="808" t="s">
        <v>558</v>
      </c>
      <c r="D32" s="987">
        <v>5.601</v>
      </c>
      <c r="E32" s="987">
        <v>1.319</v>
      </c>
      <c r="F32" s="989">
        <v>1.4508999999999999</v>
      </c>
      <c r="G32" s="401">
        <v>1.5959899999999998</v>
      </c>
      <c r="H32" s="633">
        <v>1.7555889999999996</v>
      </c>
      <c r="I32" s="401">
        <v>1.9311478999999998</v>
      </c>
      <c r="J32" s="632">
        <v>2.12426269</v>
      </c>
      <c r="K32" s="851">
        <f>SUM(F32:J32)</f>
        <v>8.85788959</v>
      </c>
    </row>
    <row r="33" spans="1:11" s="816" customFormat="1" ht="37.5" customHeight="1">
      <c r="A33" s="814"/>
      <c r="B33" s="817" t="s">
        <v>562</v>
      </c>
      <c r="C33" s="811" t="s">
        <v>5</v>
      </c>
      <c r="D33" s="634"/>
      <c r="E33" s="634"/>
      <c r="F33" s="635">
        <f>F32/F5*100</f>
        <v>17.92518099379803</v>
      </c>
      <c r="G33" s="634"/>
      <c r="H33" s="636"/>
      <c r="I33" s="634"/>
      <c r="J33" s="635"/>
      <c r="K33" s="636"/>
    </row>
    <row r="34" spans="1:11" s="816" customFormat="1" ht="32.25" customHeight="1">
      <c r="A34" s="814"/>
      <c r="B34" s="817" t="s">
        <v>473</v>
      </c>
      <c r="C34" s="811" t="s">
        <v>308</v>
      </c>
      <c r="D34" s="634"/>
      <c r="E34" s="634"/>
      <c r="F34" s="635"/>
      <c r="G34" s="634"/>
      <c r="H34" s="636"/>
      <c r="I34" s="634"/>
      <c r="J34" s="635"/>
      <c r="K34" s="636"/>
    </row>
    <row r="35" spans="1:11" ht="39" customHeight="1">
      <c r="A35" s="831"/>
      <c r="B35" s="1216" t="s">
        <v>567</v>
      </c>
      <c r="C35" s="1216"/>
      <c r="D35" s="1216"/>
      <c r="E35" s="1216"/>
      <c r="F35" s="1216"/>
      <c r="G35" s="1216"/>
      <c r="H35" s="1216"/>
      <c r="I35" s="1216"/>
      <c r="J35" s="1216"/>
      <c r="K35" s="1216"/>
    </row>
    <row r="36" spans="1:11" ht="27" customHeight="1">
      <c r="A36" s="831"/>
      <c r="B36" s="1215"/>
      <c r="C36" s="1215"/>
      <c r="D36" s="1215"/>
      <c r="E36" s="1215"/>
      <c r="F36" s="1215"/>
      <c r="G36" s="1215"/>
      <c r="H36" s="832"/>
      <c r="I36" s="831"/>
      <c r="J36" s="832"/>
      <c r="K36" s="832"/>
    </row>
    <row r="37" spans="1:11" ht="16.5">
      <c r="A37" s="831"/>
      <c r="C37" s="1040"/>
      <c r="D37" s="831"/>
      <c r="E37" s="831"/>
      <c r="F37" s="832"/>
      <c r="G37" s="832"/>
      <c r="H37" s="832"/>
      <c r="I37" s="831"/>
      <c r="J37" s="832"/>
      <c r="K37" s="832"/>
    </row>
    <row r="38" spans="1:11" ht="16.5">
      <c r="A38" s="831"/>
      <c r="B38" s="833"/>
      <c r="C38" s="1040"/>
      <c r="D38" s="831"/>
      <c r="E38" s="831"/>
      <c r="F38" s="832"/>
      <c r="G38" s="832"/>
      <c r="H38" s="832"/>
      <c r="I38" s="831"/>
      <c r="J38" s="832"/>
      <c r="K38" s="832"/>
    </row>
    <row r="39" spans="1:11" ht="16.5">
      <c r="A39" s="831"/>
      <c r="B39" s="833"/>
      <c r="C39" s="1040"/>
      <c r="D39" s="831"/>
      <c r="E39" s="831"/>
      <c r="F39" s="832"/>
      <c r="G39" s="832"/>
      <c r="H39" s="832"/>
      <c r="I39" s="831"/>
      <c r="J39" s="832"/>
      <c r="K39" s="832"/>
    </row>
    <row r="40" spans="1:11" ht="16.5">
      <c r="A40" s="831"/>
      <c r="B40" s="833"/>
      <c r="C40" s="1040"/>
      <c r="D40" s="831"/>
      <c r="E40" s="831"/>
      <c r="F40" s="832"/>
      <c r="G40" s="832"/>
      <c r="H40" s="832"/>
      <c r="I40" s="831"/>
      <c r="J40" s="832"/>
      <c r="K40" s="832"/>
    </row>
    <row r="41" spans="1:11" ht="16.5">
      <c r="A41" s="831"/>
      <c r="B41" s="833"/>
      <c r="C41" s="1040"/>
      <c r="D41" s="831"/>
      <c r="E41" s="831"/>
      <c r="F41" s="832"/>
      <c r="G41" s="832"/>
      <c r="H41" s="832"/>
      <c r="I41" s="831"/>
      <c r="J41" s="832"/>
      <c r="K41" s="832"/>
    </row>
    <row r="42" spans="1:11" ht="16.5">
      <c r="A42" s="831"/>
      <c r="B42" s="833"/>
      <c r="C42" s="1040"/>
      <c r="D42" s="831"/>
      <c r="E42" s="831"/>
      <c r="F42" s="832"/>
      <c r="G42" s="832"/>
      <c r="H42" s="832"/>
      <c r="I42" s="831"/>
      <c r="J42" s="832"/>
      <c r="K42" s="832"/>
    </row>
    <row r="43" spans="1:11" ht="16.5">
      <c r="A43" s="831"/>
      <c r="B43" s="833"/>
      <c r="C43" s="1040"/>
      <c r="D43" s="831"/>
      <c r="E43" s="831"/>
      <c r="F43" s="832"/>
      <c r="G43" s="832"/>
      <c r="H43" s="832"/>
      <c r="I43" s="831"/>
      <c r="J43" s="832"/>
      <c r="K43" s="832"/>
    </row>
    <row r="44" spans="1:11" ht="16.5">
      <c r="A44" s="831"/>
      <c r="B44" s="833"/>
      <c r="C44" s="1040"/>
      <c r="D44" s="831"/>
      <c r="E44" s="831"/>
      <c r="F44" s="832"/>
      <c r="G44" s="832"/>
      <c r="H44" s="832"/>
      <c r="I44" s="831"/>
      <c r="J44" s="832"/>
      <c r="K44" s="832"/>
    </row>
    <row r="45" spans="1:11" ht="16.5">
      <c r="A45" s="831"/>
      <c r="B45" s="833"/>
      <c r="C45" s="1040"/>
      <c r="D45" s="831"/>
      <c r="E45" s="831"/>
      <c r="F45" s="832"/>
      <c r="G45" s="832"/>
      <c r="H45" s="832"/>
      <c r="I45" s="831"/>
      <c r="J45" s="832"/>
      <c r="K45" s="832"/>
    </row>
    <row r="46" spans="1:11" ht="16.5">
      <c r="A46" s="831"/>
      <c r="B46" s="833"/>
      <c r="C46" s="1040"/>
      <c r="D46" s="831"/>
      <c r="E46" s="831"/>
      <c r="F46" s="832"/>
      <c r="G46" s="832"/>
      <c r="H46" s="832"/>
      <c r="I46" s="831"/>
      <c r="J46" s="832"/>
      <c r="K46" s="832"/>
    </row>
    <row r="47" spans="1:11" ht="16.5">
      <c r="A47" s="831"/>
      <c r="B47" s="833"/>
      <c r="C47" s="1040"/>
      <c r="D47" s="831"/>
      <c r="E47" s="831"/>
      <c r="F47" s="832"/>
      <c r="G47" s="832"/>
      <c r="H47" s="832"/>
      <c r="I47" s="831"/>
      <c r="J47" s="832"/>
      <c r="K47" s="832"/>
    </row>
    <row r="48" spans="1:11" ht="16.5">
      <c r="A48" s="831"/>
      <c r="B48" s="833"/>
      <c r="C48" s="1040"/>
      <c r="D48" s="831"/>
      <c r="E48" s="831"/>
      <c r="F48" s="832"/>
      <c r="G48" s="832"/>
      <c r="H48" s="832"/>
      <c r="I48" s="831"/>
      <c r="J48" s="832"/>
      <c r="K48" s="832"/>
    </row>
    <row r="49" spans="1:11" ht="16.5">
      <c r="A49" s="831"/>
      <c r="B49" s="833"/>
      <c r="C49" s="1040"/>
      <c r="D49" s="831"/>
      <c r="E49" s="831"/>
      <c r="F49" s="832"/>
      <c r="G49" s="832"/>
      <c r="H49" s="832"/>
      <c r="I49" s="831"/>
      <c r="J49" s="832"/>
      <c r="K49" s="832"/>
    </row>
    <row r="50" spans="1:11" ht="16.5">
      <c r="A50" s="831"/>
      <c r="B50" s="833"/>
      <c r="C50" s="1040"/>
      <c r="D50" s="831"/>
      <c r="E50" s="831"/>
      <c r="F50" s="832"/>
      <c r="G50" s="832"/>
      <c r="H50" s="832"/>
      <c r="I50" s="831"/>
      <c r="J50" s="832"/>
      <c r="K50" s="832"/>
    </row>
    <row r="51" spans="1:11" ht="16.5">
      <c r="A51" s="831"/>
      <c r="B51" s="833"/>
      <c r="C51" s="1040"/>
      <c r="D51" s="831"/>
      <c r="E51" s="831"/>
      <c r="F51" s="832"/>
      <c r="G51" s="832"/>
      <c r="H51" s="832"/>
      <c r="I51" s="831"/>
      <c r="J51" s="832"/>
      <c r="K51" s="832"/>
    </row>
    <row r="52" spans="1:11" ht="16.5">
      <c r="A52" s="831"/>
      <c r="B52" s="833"/>
      <c r="C52" s="1040"/>
      <c r="D52" s="831"/>
      <c r="E52" s="831"/>
      <c r="F52" s="832"/>
      <c r="G52" s="832"/>
      <c r="H52" s="832"/>
      <c r="I52" s="831"/>
      <c r="J52" s="832"/>
      <c r="K52" s="832"/>
    </row>
    <row r="53" spans="1:11" ht="16.5">
      <c r="A53" s="831"/>
      <c r="B53" s="833"/>
      <c r="C53" s="1040"/>
      <c r="D53" s="831"/>
      <c r="E53" s="831"/>
      <c r="F53" s="832"/>
      <c r="G53" s="832"/>
      <c r="H53" s="832"/>
      <c r="I53" s="831"/>
      <c r="J53" s="832"/>
      <c r="K53" s="832"/>
    </row>
    <row r="54" spans="1:11" ht="16.5">
      <c r="A54" s="831"/>
      <c r="B54" s="833"/>
      <c r="C54" s="1040"/>
      <c r="D54" s="831"/>
      <c r="E54" s="831"/>
      <c r="F54" s="832"/>
      <c r="G54" s="832"/>
      <c r="H54" s="832"/>
      <c r="I54" s="831"/>
      <c r="J54" s="832"/>
      <c r="K54" s="832"/>
    </row>
    <row r="55" spans="1:11" ht="16.5">
      <c r="A55" s="831"/>
      <c r="B55" s="833"/>
      <c r="C55" s="1040"/>
      <c r="D55" s="831"/>
      <c r="E55" s="831"/>
      <c r="F55" s="832"/>
      <c r="G55" s="832"/>
      <c r="H55" s="832"/>
      <c r="I55" s="831"/>
      <c r="J55" s="832"/>
      <c r="K55" s="832"/>
    </row>
    <row r="56" spans="1:11" ht="16.5">
      <c r="A56" s="831"/>
      <c r="B56" s="833"/>
      <c r="C56" s="1040"/>
      <c r="D56" s="831"/>
      <c r="E56" s="831"/>
      <c r="F56" s="832"/>
      <c r="G56" s="832"/>
      <c r="H56" s="832"/>
      <c r="I56" s="831"/>
      <c r="J56" s="832"/>
      <c r="K56" s="832"/>
    </row>
    <row r="57" spans="1:11" ht="16.5">
      <c r="A57" s="831"/>
      <c r="B57" s="833"/>
      <c r="C57" s="1040"/>
      <c r="D57" s="831"/>
      <c r="E57" s="831"/>
      <c r="F57" s="832"/>
      <c r="G57" s="832"/>
      <c r="H57" s="832"/>
      <c r="I57" s="831"/>
      <c r="J57" s="832"/>
      <c r="K57" s="832"/>
    </row>
    <row r="58" spans="1:11" ht="16.5">
      <c r="A58" s="831"/>
      <c r="B58" s="833"/>
      <c r="C58" s="1040"/>
      <c r="D58" s="831"/>
      <c r="E58" s="831"/>
      <c r="F58" s="832"/>
      <c r="G58" s="832"/>
      <c r="H58" s="832"/>
      <c r="I58" s="831"/>
      <c r="J58" s="832"/>
      <c r="K58" s="832"/>
    </row>
    <row r="59" spans="1:11" ht="16.5">
      <c r="A59" s="831"/>
      <c r="B59" s="833"/>
      <c r="C59" s="1040"/>
      <c r="D59" s="831"/>
      <c r="E59" s="831"/>
      <c r="F59" s="832"/>
      <c r="G59" s="832"/>
      <c r="H59" s="832"/>
      <c r="I59" s="831"/>
      <c r="J59" s="832"/>
      <c r="K59" s="832"/>
    </row>
    <row r="60" spans="1:11" ht="16.5">
      <c r="A60" s="831"/>
      <c r="B60" s="833"/>
      <c r="C60" s="1040"/>
      <c r="D60" s="831"/>
      <c r="E60" s="831"/>
      <c r="F60" s="832"/>
      <c r="G60" s="832"/>
      <c r="H60" s="832"/>
      <c r="I60" s="831"/>
      <c r="J60" s="832"/>
      <c r="K60" s="832"/>
    </row>
    <row r="61" spans="1:11" ht="16.5">
      <c r="A61" s="831"/>
      <c r="B61" s="833"/>
      <c r="C61" s="1040"/>
      <c r="D61" s="831"/>
      <c r="E61" s="831"/>
      <c r="F61" s="832"/>
      <c r="G61" s="832"/>
      <c r="H61" s="832"/>
      <c r="I61" s="831"/>
      <c r="J61" s="832"/>
      <c r="K61" s="832"/>
    </row>
    <row r="62" spans="1:11" ht="16.5">
      <c r="A62" s="831"/>
      <c r="B62" s="833"/>
      <c r="C62" s="1040"/>
      <c r="D62" s="831"/>
      <c r="E62" s="831"/>
      <c r="F62" s="832"/>
      <c r="G62" s="832"/>
      <c r="H62" s="832"/>
      <c r="I62" s="831"/>
      <c r="J62" s="832"/>
      <c r="K62" s="832"/>
    </row>
    <row r="63" spans="1:11" ht="16.5">
      <c r="A63" s="831"/>
      <c r="B63" s="833"/>
      <c r="C63" s="1040"/>
      <c r="D63" s="831"/>
      <c r="E63" s="831"/>
      <c r="F63" s="832"/>
      <c r="G63" s="832"/>
      <c r="H63" s="832"/>
      <c r="I63" s="831"/>
      <c r="J63" s="832"/>
      <c r="K63" s="832"/>
    </row>
    <row r="64" spans="1:11" ht="16.5">
      <c r="A64" s="831"/>
      <c r="B64" s="833"/>
      <c r="C64" s="1040"/>
      <c r="D64" s="831"/>
      <c r="E64" s="831"/>
      <c r="F64" s="832"/>
      <c r="G64" s="832"/>
      <c r="H64" s="832"/>
      <c r="I64" s="831"/>
      <c r="J64" s="832"/>
      <c r="K64" s="832"/>
    </row>
    <row r="65" spans="1:11" ht="16.5">
      <c r="A65" s="831"/>
      <c r="B65" s="833"/>
      <c r="C65" s="1040"/>
      <c r="D65" s="831"/>
      <c r="E65" s="831"/>
      <c r="F65" s="832"/>
      <c r="G65" s="832"/>
      <c r="H65" s="832"/>
      <c r="I65" s="831"/>
      <c r="J65" s="832"/>
      <c r="K65" s="832"/>
    </row>
    <row r="66" spans="1:11" ht="16.5">
      <c r="A66" s="831"/>
      <c r="B66" s="833"/>
      <c r="C66" s="1040"/>
      <c r="D66" s="831"/>
      <c r="E66" s="831"/>
      <c r="F66" s="832"/>
      <c r="G66" s="832"/>
      <c r="H66" s="832"/>
      <c r="I66" s="831"/>
      <c r="J66" s="832"/>
      <c r="K66" s="832"/>
    </row>
    <row r="67" spans="1:11" ht="16.5">
      <c r="A67" s="831"/>
      <c r="B67" s="833"/>
      <c r="C67" s="1040"/>
      <c r="D67" s="831"/>
      <c r="E67" s="831"/>
      <c r="F67" s="832"/>
      <c r="G67" s="832"/>
      <c r="H67" s="832"/>
      <c r="I67" s="831"/>
      <c r="J67" s="832"/>
      <c r="K67" s="832"/>
    </row>
    <row r="68" spans="1:11" ht="16.5">
      <c r="A68" s="831"/>
      <c r="B68" s="833"/>
      <c r="C68" s="1040"/>
      <c r="D68" s="831"/>
      <c r="E68" s="831"/>
      <c r="F68" s="832"/>
      <c r="G68" s="832"/>
      <c r="H68" s="832"/>
      <c r="I68" s="831"/>
      <c r="J68" s="832"/>
      <c r="K68" s="832"/>
    </row>
    <row r="69" spans="1:11" ht="16.5">
      <c r="A69" s="831"/>
      <c r="B69" s="833"/>
      <c r="C69" s="1040"/>
      <c r="D69" s="831"/>
      <c r="E69" s="831"/>
      <c r="F69" s="832"/>
      <c r="G69" s="832"/>
      <c r="H69" s="832"/>
      <c r="I69" s="831"/>
      <c r="J69" s="832"/>
      <c r="K69" s="832"/>
    </row>
    <row r="70" spans="1:11" ht="16.5">
      <c r="A70" s="831"/>
      <c r="B70" s="833"/>
      <c r="C70" s="1040"/>
      <c r="D70" s="831"/>
      <c r="E70" s="831"/>
      <c r="F70" s="832"/>
      <c r="G70" s="832"/>
      <c r="H70" s="832"/>
      <c r="I70" s="831"/>
      <c r="J70" s="832"/>
      <c r="K70" s="832"/>
    </row>
    <row r="71" spans="1:11" ht="16.5">
      <c r="A71" s="831"/>
      <c r="B71" s="833"/>
      <c r="C71" s="1040"/>
      <c r="D71" s="831"/>
      <c r="E71" s="831"/>
      <c r="F71" s="832"/>
      <c r="G71" s="832"/>
      <c r="H71" s="832"/>
      <c r="I71" s="831"/>
      <c r="J71" s="832"/>
      <c r="K71" s="832"/>
    </row>
    <row r="72" spans="1:11" ht="16.5">
      <c r="A72" s="831"/>
      <c r="B72" s="833"/>
      <c r="C72" s="1040"/>
      <c r="D72" s="831"/>
      <c r="E72" s="831"/>
      <c r="F72" s="832"/>
      <c r="G72" s="832"/>
      <c r="H72" s="832"/>
      <c r="I72" s="831"/>
      <c r="J72" s="832"/>
      <c r="K72" s="832"/>
    </row>
    <row r="73" spans="1:11" ht="16.5">
      <c r="A73" s="831"/>
      <c r="B73" s="833"/>
      <c r="C73" s="1040"/>
      <c r="D73" s="831"/>
      <c r="E73" s="831"/>
      <c r="F73" s="832"/>
      <c r="G73" s="832"/>
      <c r="H73" s="832"/>
      <c r="I73" s="831"/>
      <c r="J73" s="832"/>
      <c r="K73" s="832"/>
    </row>
    <row r="74" spans="1:11" ht="16.5">
      <c r="A74" s="831"/>
      <c r="B74" s="833"/>
      <c r="C74" s="1040"/>
      <c r="D74" s="831"/>
      <c r="E74" s="831"/>
      <c r="F74" s="832"/>
      <c r="G74" s="832"/>
      <c r="H74" s="832"/>
      <c r="I74" s="831"/>
      <c r="J74" s="832"/>
      <c r="K74" s="832"/>
    </row>
    <row r="75" spans="1:11" ht="16.5">
      <c r="A75" s="831"/>
      <c r="B75" s="833"/>
      <c r="C75" s="1040"/>
      <c r="D75" s="831"/>
      <c r="E75" s="831"/>
      <c r="F75" s="832"/>
      <c r="G75" s="832"/>
      <c r="H75" s="832"/>
      <c r="I75" s="831"/>
      <c r="J75" s="832"/>
      <c r="K75" s="832"/>
    </row>
    <row r="76" spans="1:11" ht="16.5">
      <c r="A76" s="831"/>
      <c r="B76" s="833"/>
      <c r="C76" s="1040"/>
      <c r="D76" s="831"/>
      <c r="E76" s="831"/>
      <c r="F76" s="832"/>
      <c r="G76" s="832"/>
      <c r="H76" s="832"/>
      <c r="I76" s="831"/>
      <c r="J76" s="832"/>
      <c r="K76" s="832"/>
    </row>
    <row r="77" spans="1:11" ht="16.5">
      <c r="A77" s="831"/>
      <c r="B77" s="833"/>
      <c r="C77" s="1040"/>
      <c r="D77" s="831"/>
      <c r="E77" s="831"/>
      <c r="F77" s="832"/>
      <c r="G77" s="832"/>
      <c r="H77" s="832"/>
      <c r="I77" s="831"/>
      <c r="J77" s="832"/>
      <c r="K77" s="832"/>
    </row>
    <row r="78" spans="1:11" ht="16.5">
      <c r="A78" s="831"/>
      <c r="B78" s="833"/>
      <c r="C78" s="1040"/>
      <c r="D78" s="831"/>
      <c r="E78" s="831"/>
      <c r="F78" s="832"/>
      <c r="G78" s="832"/>
      <c r="H78" s="832"/>
      <c r="I78" s="831"/>
      <c r="J78" s="832"/>
      <c r="K78" s="832"/>
    </row>
    <row r="79" spans="1:11" ht="16.5">
      <c r="A79" s="831"/>
      <c r="B79" s="833"/>
      <c r="C79" s="1040"/>
      <c r="D79" s="831"/>
      <c r="E79" s="831"/>
      <c r="F79" s="832"/>
      <c r="G79" s="832"/>
      <c r="H79" s="832"/>
      <c r="I79" s="831"/>
      <c r="J79" s="832"/>
      <c r="K79" s="832"/>
    </row>
    <row r="80" spans="1:11" ht="16.5">
      <c r="A80" s="831"/>
      <c r="B80" s="833"/>
      <c r="C80" s="1040"/>
      <c r="D80" s="831"/>
      <c r="E80" s="831"/>
      <c r="F80" s="832"/>
      <c r="G80" s="832"/>
      <c r="H80" s="832"/>
      <c r="I80" s="831"/>
      <c r="J80" s="832"/>
      <c r="K80" s="832"/>
    </row>
    <row r="81" spans="1:11" ht="16.5">
      <c r="A81" s="831"/>
      <c r="B81" s="833"/>
      <c r="C81" s="1040"/>
      <c r="D81" s="831"/>
      <c r="E81" s="831"/>
      <c r="F81" s="832"/>
      <c r="G81" s="832"/>
      <c r="H81" s="832"/>
      <c r="I81" s="831"/>
      <c r="J81" s="832"/>
      <c r="K81" s="832"/>
    </row>
    <row r="82" spans="1:11" ht="16.5">
      <c r="A82" s="831"/>
      <c r="B82" s="833"/>
      <c r="C82" s="1040"/>
      <c r="D82" s="831"/>
      <c r="E82" s="831"/>
      <c r="F82" s="832"/>
      <c r="G82" s="832"/>
      <c r="H82" s="832"/>
      <c r="I82" s="831"/>
      <c r="J82" s="832"/>
      <c r="K82" s="832"/>
    </row>
    <row r="83" spans="1:11" ht="16.5">
      <c r="A83" s="831"/>
      <c r="B83" s="833"/>
      <c r="C83" s="1040"/>
      <c r="D83" s="831"/>
      <c r="E83" s="831"/>
      <c r="F83" s="832"/>
      <c r="G83" s="832"/>
      <c r="H83" s="832"/>
      <c r="I83" s="831"/>
      <c r="J83" s="832"/>
      <c r="K83" s="832"/>
    </row>
    <row r="84" spans="1:11" ht="16.5">
      <c r="A84" s="831"/>
      <c r="B84" s="833"/>
      <c r="C84" s="1040"/>
      <c r="D84" s="831"/>
      <c r="E84" s="831"/>
      <c r="F84" s="832"/>
      <c r="G84" s="832"/>
      <c r="H84" s="832"/>
      <c r="I84" s="831"/>
      <c r="J84" s="832"/>
      <c r="K84" s="832"/>
    </row>
    <row r="85" spans="1:11" ht="16.5">
      <c r="A85" s="831"/>
      <c r="B85" s="833"/>
      <c r="C85" s="1040"/>
      <c r="D85" s="831"/>
      <c r="E85" s="831"/>
      <c r="F85" s="832"/>
      <c r="G85" s="832"/>
      <c r="H85" s="832"/>
      <c r="I85" s="831"/>
      <c r="J85" s="832"/>
      <c r="K85" s="832"/>
    </row>
    <row r="86" spans="1:11" ht="16.5">
      <c r="A86" s="831"/>
      <c r="B86" s="833"/>
      <c r="C86" s="1040"/>
      <c r="D86" s="831"/>
      <c r="E86" s="831"/>
      <c r="F86" s="832"/>
      <c r="G86" s="832"/>
      <c r="H86" s="832"/>
      <c r="I86" s="831"/>
      <c r="J86" s="832"/>
      <c r="K86" s="832"/>
    </row>
    <row r="87" spans="1:11" ht="16.5">
      <c r="A87" s="831"/>
      <c r="B87" s="833"/>
      <c r="C87" s="1040"/>
      <c r="D87" s="831"/>
      <c r="E87" s="831"/>
      <c r="F87" s="832"/>
      <c r="G87" s="832"/>
      <c r="H87" s="832"/>
      <c r="I87" s="831"/>
      <c r="J87" s="832"/>
      <c r="K87" s="832"/>
    </row>
    <row r="88" spans="1:11" ht="16.5">
      <c r="A88" s="831"/>
      <c r="B88" s="833"/>
      <c r="C88" s="1040"/>
      <c r="D88" s="831"/>
      <c r="E88" s="831"/>
      <c r="F88" s="832"/>
      <c r="G88" s="832"/>
      <c r="H88" s="832"/>
      <c r="I88" s="831"/>
      <c r="J88" s="832"/>
      <c r="K88" s="832"/>
    </row>
    <row r="89" spans="1:11" ht="16.5">
      <c r="A89" s="831"/>
      <c r="B89" s="833"/>
      <c r="C89" s="1040"/>
      <c r="D89" s="831"/>
      <c r="E89" s="831"/>
      <c r="F89" s="832"/>
      <c r="G89" s="832"/>
      <c r="H89" s="832"/>
      <c r="I89" s="831"/>
      <c r="J89" s="832"/>
      <c r="K89" s="832"/>
    </row>
    <row r="90" spans="1:11" ht="16.5">
      <c r="A90" s="831"/>
      <c r="B90" s="833"/>
      <c r="C90" s="1040"/>
      <c r="D90" s="831"/>
      <c r="E90" s="831"/>
      <c r="F90" s="832"/>
      <c r="G90" s="832"/>
      <c r="H90" s="832"/>
      <c r="I90" s="831"/>
      <c r="J90" s="832"/>
      <c r="K90" s="832"/>
    </row>
    <row r="91" spans="1:11" ht="16.5">
      <c r="A91" s="831"/>
      <c r="B91" s="833"/>
      <c r="C91" s="1040"/>
      <c r="D91" s="831"/>
      <c r="E91" s="831"/>
      <c r="F91" s="832"/>
      <c r="G91" s="832"/>
      <c r="H91" s="832"/>
      <c r="I91" s="831"/>
      <c r="J91" s="832"/>
      <c r="K91" s="832"/>
    </row>
    <row r="92" spans="1:11" ht="16.5">
      <c r="A92" s="831"/>
      <c r="B92" s="833"/>
      <c r="C92" s="1040"/>
      <c r="D92" s="831"/>
      <c r="E92" s="831"/>
      <c r="F92" s="832"/>
      <c r="G92" s="832"/>
      <c r="H92" s="832"/>
      <c r="I92" s="831"/>
      <c r="J92" s="832"/>
      <c r="K92" s="832"/>
    </row>
    <row r="93" spans="1:11" ht="16.5">
      <c r="A93" s="831"/>
      <c r="B93" s="833"/>
      <c r="C93" s="1040"/>
      <c r="D93" s="831"/>
      <c r="E93" s="831"/>
      <c r="F93" s="832"/>
      <c r="G93" s="832"/>
      <c r="H93" s="832"/>
      <c r="I93" s="831"/>
      <c r="J93" s="832"/>
      <c r="K93" s="832"/>
    </row>
    <row r="94" spans="1:11" ht="16.5">
      <c r="A94" s="831"/>
      <c r="B94" s="833"/>
      <c r="C94" s="1040"/>
      <c r="D94" s="831"/>
      <c r="E94" s="831"/>
      <c r="F94" s="832"/>
      <c r="G94" s="832"/>
      <c r="H94" s="832"/>
      <c r="I94" s="831"/>
      <c r="J94" s="832"/>
      <c r="K94" s="832"/>
    </row>
    <row r="95" spans="1:11" ht="16.5">
      <c r="A95" s="831"/>
      <c r="B95" s="833"/>
      <c r="C95" s="1040"/>
      <c r="D95" s="831"/>
      <c r="E95" s="831"/>
      <c r="F95" s="832"/>
      <c r="G95" s="832"/>
      <c r="H95" s="832"/>
      <c r="I95" s="831"/>
      <c r="J95" s="832"/>
      <c r="K95" s="832"/>
    </row>
    <row r="96" spans="1:11" ht="16.5">
      <c r="A96" s="831"/>
      <c r="B96" s="833"/>
      <c r="C96" s="1040"/>
      <c r="D96" s="831"/>
      <c r="E96" s="831"/>
      <c r="F96" s="832"/>
      <c r="G96" s="832"/>
      <c r="H96" s="832"/>
      <c r="I96" s="831"/>
      <c r="J96" s="832"/>
      <c r="K96" s="832"/>
    </row>
    <row r="97" spans="1:11" ht="16.5">
      <c r="A97" s="831"/>
      <c r="B97" s="833"/>
      <c r="C97" s="1040"/>
      <c r="D97" s="831"/>
      <c r="E97" s="831"/>
      <c r="F97" s="832"/>
      <c r="G97" s="832"/>
      <c r="H97" s="832"/>
      <c r="I97" s="831"/>
      <c r="J97" s="832"/>
      <c r="K97" s="832"/>
    </row>
    <row r="98" spans="1:11" ht="16.5">
      <c r="A98" s="831"/>
      <c r="B98" s="833"/>
      <c r="C98" s="1040"/>
      <c r="D98" s="831"/>
      <c r="E98" s="831"/>
      <c r="F98" s="832"/>
      <c r="G98" s="832"/>
      <c r="H98" s="832"/>
      <c r="I98" s="831"/>
      <c r="J98" s="832"/>
      <c r="K98" s="832"/>
    </row>
    <row r="99" spans="1:11" ht="16.5">
      <c r="A99" s="831"/>
      <c r="B99" s="833"/>
      <c r="C99" s="1040"/>
      <c r="D99" s="831"/>
      <c r="E99" s="831"/>
      <c r="F99" s="832"/>
      <c r="G99" s="832"/>
      <c r="H99" s="832"/>
      <c r="I99" s="831"/>
      <c r="J99" s="832"/>
      <c r="K99" s="832"/>
    </row>
    <row r="100" spans="1:11" ht="16.5">
      <c r="A100" s="831"/>
      <c r="B100" s="833"/>
      <c r="C100" s="1040"/>
      <c r="D100" s="831"/>
      <c r="E100" s="831"/>
      <c r="F100" s="832"/>
      <c r="G100" s="832"/>
      <c r="H100" s="832"/>
      <c r="I100" s="831"/>
      <c r="J100" s="832"/>
      <c r="K100" s="832"/>
    </row>
    <row r="101" spans="1:11" ht="16.5">
      <c r="A101" s="831"/>
      <c r="B101" s="833"/>
      <c r="C101" s="1040"/>
      <c r="D101" s="831"/>
      <c r="E101" s="831"/>
      <c r="F101" s="832"/>
      <c r="G101" s="832"/>
      <c r="H101" s="832"/>
      <c r="I101" s="831"/>
      <c r="J101" s="832"/>
      <c r="K101" s="832"/>
    </row>
    <row r="102" spans="1:11" ht="16.5">
      <c r="A102" s="831"/>
      <c r="B102" s="833"/>
      <c r="C102" s="1040"/>
      <c r="D102" s="831"/>
      <c r="E102" s="831"/>
      <c r="F102" s="832"/>
      <c r="G102" s="832"/>
      <c r="H102" s="832"/>
      <c r="I102" s="831"/>
      <c r="J102" s="832"/>
      <c r="K102" s="832"/>
    </row>
    <row r="103" spans="1:11" ht="16.5">
      <c r="A103" s="831"/>
      <c r="B103" s="833"/>
      <c r="C103" s="1040"/>
      <c r="D103" s="831"/>
      <c r="E103" s="831"/>
      <c r="F103" s="832"/>
      <c r="G103" s="832"/>
      <c r="H103" s="832"/>
      <c r="I103" s="831"/>
      <c r="J103" s="832"/>
      <c r="K103" s="832"/>
    </row>
    <row r="104" spans="1:11" ht="16.5">
      <c r="A104" s="831"/>
      <c r="B104" s="833"/>
      <c r="C104" s="1040"/>
      <c r="D104" s="831"/>
      <c r="E104" s="831"/>
      <c r="F104" s="832"/>
      <c r="G104" s="832"/>
      <c r="H104" s="832"/>
      <c r="I104" s="831"/>
      <c r="J104" s="832"/>
      <c r="K104" s="832"/>
    </row>
    <row r="105" spans="1:11" ht="16.5">
      <c r="A105" s="831"/>
      <c r="B105" s="833"/>
      <c r="C105" s="1040"/>
      <c r="D105" s="831"/>
      <c r="E105" s="831"/>
      <c r="F105" s="832"/>
      <c r="G105" s="832"/>
      <c r="H105" s="832"/>
      <c r="I105" s="831"/>
      <c r="J105" s="832"/>
      <c r="K105" s="832"/>
    </row>
    <row r="106" spans="1:11" ht="16.5">
      <c r="A106" s="831"/>
      <c r="B106" s="833"/>
      <c r="C106" s="1040"/>
      <c r="D106" s="831"/>
      <c r="E106" s="831"/>
      <c r="F106" s="832"/>
      <c r="G106" s="832"/>
      <c r="H106" s="832"/>
      <c r="I106" s="831"/>
      <c r="J106" s="832"/>
      <c r="K106" s="832"/>
    </row>
    <row r="107" spans="1:11" ht="16.5">
      <c r="A107" s="831"/>
      <c r="B107" s="833"/>
      <c r="C107" s="1040"/>
      <c r="D107" s="831"/>
      <c r="E107" s="831"/>
      <c r="F107" s="832"/>
      <c r="G107" s="832"/>
      <c r="H107" s="832"/>
      <c r="I107" s="831"/>
      <c r="J107" s="832"/>
      <c r="K107" s="832"/>
    </row>
    <row r="108" spans="1:11" ht="16.5">
      <c r="A108" s="831"/>
      <c r="B108" s="833"/>
      <c r="C108" s="1040"/>
      <c r="D108" s="831"/>
      <c r="E108" s="831"/>
      <c r="F108" s="832"/>
      <c r="G108" s="832"/>
      <c r="H108" s="832"/>
      <c r="I108" s="831"/>
      <c r="J108" s="832"/>
      <c r="K108" s="832"/>
    </row>
    <row r="109" spans="1:11" ht="16.5">
      <c r="A109" s="831"/>
      <c r="B109" s="833"/>
      <c r="C109" s="1040"/>
      <c r="D109" s="831"/>
      <c r="E109" s="831"/>
      <c r="F109" s="832"/>
      <c r="G109" s="832"/>
      <c r="H109" s="832"/>
      <c r="I109" s="831"/>
      <c r="J109" s="832"/>
      <c r="K109" s="832"/>
    </row>
    <row r="110" spans="1:11" ht="16.5">
      <c r="A110" s="831"/>
      <c r="B110" s="833"/>
      <c r="C110" s="1040"/>
      <c r="D110" s="831"/>
      <c r="E110" s="831"/>
      <c r="F110" s="832"/>
      <c r="G110" s="832"/>
      <c r="H110" s="832"/>
      <c r="I110" s="831"/>
      <c r="J110" s="832"/>
      <c r="K110" s="832"/>
    </row>
    <row r="111" spans="1:11" ht="16.5">
      <c r="A111" s="831"/>
      <c r="B111" s="833"/>
      <c r="C111" s="1040"/>
      <c r="D111" s="831"/>
      <c r="E111" s="831"/>
      <c r="F111" s="832"/>
      <c r="G111" s="832"/>
      <c r="H111" s="832"/>
      <c r="I111" s="831"/>
      <c r="J111" s="832"/>
      <c r="K111" s="832"/>
    </row>
    <row r="112" spans="1:11" ht="16.5">
      <c r="A112" s="831"/>
      <c r="B112" s="833"/>
      <c r="C112" s="1040"/>
      <c r="D112" s="831"/>
      <c r="E112" s="831"/>
      <c r="F112" s="832"/>
      <c r="G112" s="832"/>
      <c r="H112" s="832"/>
      <c r="I112" s="831"/>
      <c r="J112" s="832"/>
      <c r="K112" s="832"/>
    </row>
    <row r="113" spans="1:11" ht="16.5">
      <c r="A113" s="831"/>
      <c r="B113" s="833"/>
      <c r="C113" s="1040"/>
      <c r="D113" s="831"/>
      <c r="E113" s="831"/>
      <c r="F113" s="832"/>
      <c r="G113" s="832"/>
      <c r="H113" s="832"/>
      <c r="I113" s="831"/>
      <c r="J113" s="832"/>
      <c r="K113" s="832"/>
    </row>
    <row r="114" spans="1:11" ht="16.5">
      <c r="A114" s="831"/>
      <c r="B114" s="833"/>
      <c r="C114" s="1040"/>
      <c r="D114" s="831"/>
      <c r="E114" s="831"/>
      <c r="F114" s="832"/>
      <c r="G114" s="832"/>
      <c r="H114" s="832"/>
      <c r="I114" s="831"/>
      <c r="J114" s="832"/>
      <c r="K114" s="832"/>
    </row>
    <row r="115" spans="1:11" ht="16.5">
      <c r="A115" s="831"/>
      <c r="B115" s="833"/>
      <c r="C115" s="1040"/>
      <c r="D115" s="831"/>
      <c r="E115" s="831"/>
      <c r="F115" s="832"/>
      <c r="G115" s="832"/>
      <c r="H115" s="832"/>
      <c r="I115" s="831"/>
      <c r="J115" s="832"/>
      <c r="K115" s="832"/>
    </row>
    <row r="116" spans="1:11" ht="16.5">
      <c r="A116" s="831"/>
      <c r="B116" s="833"/>
      <c r="C116" s="1040"/>
      <c r="D116" s="831"/>
      <c r="E116" s="831"/>
      <c r="F116" s="832"/>
      <c r="G116" s="832"/>
      <c r="H116" s="832"/>
      <c r="I116" s="831"/>
      <c r="J116" s="832"/>
      <c r="K116" s="832"/>
    </row>
    <row r="117" spans="1:11" ht="16.5">
      <c r="A117" s="831"/>
      <c r="B117" s="833"/>
      <c r="C117" s="1040"/>
      <c r="D117" s="831"/>
      <c r="E117" s="831"/>
      <c r="F117" s="832"/>
      <c r="G117" s="832"/>
      <c r="H117" s="832"/>
      <c r="I117" s="831"/>
      <c r="J117" s="832"/>
      <c r="K117" s="832"/>
    </row>
    <row r="118" spans="1:11" ht="16.5">
      <c r="A118" s="831"/>
      <c r="B118" s="833"/>
      <c r="C118" s="1040"/>
      <c r="D118" s="831"/>
      <c r="E118" s="831"/>
      <c r="F118" s="832"/>
      <c r="G118" s="832"/>
      <c r="H118" s="832"/>
      <c r="I118" s="831"/>
      <c r="J118" s="832"/>
      <c r="K118" s="832"/>
    </row>
    <row r="119" spans="1:11" ht="16.5">
      <c r="A119" s="831"/>
      <c r="B119" s="833"/>
      <c r="C119" s="1040"/>
      <c r="D119" s="831"/>
      <c r="E119" s="831"/>
      <c r="F119" s="832"/>
      <c r="G119" s="832"/>
      <c r="H119" s="832"/>
      <c r="I119" s="831"/>
      <c r="J119" s="832"/>
      <c r="K119" s="832"/>
    </row>
    <row r="120" spans="1:11" ht="16.5">
      <c r="A120" s="831"/>
      <c r="B120" s="833"/>
      <c r="C120" s="1040"/>
      <c r="D120" s="831"/>
      <c r="E120" s="831"/>
      <c r="F120" s="832"/>
      <c r="G120" s="832"/>
      <c r="H120" s="832"/>
      <c r="I120" s="831"/>
      <c r="J120" s="832"/>
      <c r="K120" s="832"/>
    </row>
    <row r="121" spans="1:11" ht="16.5">
      <c r="A121" s="831"/>
      <c r="B121" s="833"/>
      <c r="C121" s="1040"/>
      <c r="D121" s="831"/>
      <c r="E121" s="831"/>
      <c r="F121" s="832"/>
      <c r="G121" s="832"/>
      <c r="H121" s="832"/>
      <c r="I121" s="831"/>
      <c r="J121" s="832"/>
      <c r="K121" s="832"/>
    </row>
    <row r="122" spans="1:11" ht="16.5">
      <c r="A122" s="831"/>
      <c r="B122" s="833"/>
      <c r="C122" s="1040"/>
      <c r="D122" s="831"/>
      <c r="E122" s="831"/>
      <c r="F122" s="832"/>
      <c r="G122" s="832"/>
      <c r="H122" s="832"/>
      <c r="I122" s="831"/>
      <c r="J122" s="832"/>
      <c r="K122" s="832"/>
    </row>
    <row r="123" spans="1:11" ht="16.5">
      <c r="A123" s="831"/>
      <c r="B123" s="833"/>
      <c r="C123" s="1040"/>
      <c r="D123" s="831"/>
      <c r="E123" s="831"/>
      <c r="F123" s="832"/>
      <c r="G123" s="832"/>
      <c r="H123" s="832"/>
      <c r="I123" s="831"/>
      <c r="J123" s="832"/>
      <c r="K123" s="832"/>
    </row>
    <row r="124" spans="1:11" ht="16.5">
      <c r="A124" s="831"/>
      <c r="B124" s="833"/>
      <c r="C124" s="1040"/>
      <c r="D124" s="831"/>
      <c r="E124" s="831"/>
      <c r="F124" s="832"/>
      <c r="G124" s="832"/>
      <c r="H124" s="832"/>
      <c r="I124" s="831"/>
      <c r="J124" s="832"/>
      <c r="K124" s="832"/>
    </row>
    <row r="125" spans="1:11" ht="16.5">
      <c r="A125" s="831"/>
      <c r="B125" s="833"/>
      <c r="C125" s="1040"/>
      <c r="D125" s="831"/>
      <c r="E125" s="831"/>
      <c r="F125" s="832"/>
      <c r="G125" s="832"/>
      <c r="H125" s="832"/>
      <c r="I125" s="831"/>
      <c r="J125" s="832"/>
      <c r="K125" s="832"/>
    </row>
    <row r="126" spans="1:11" ht="16.5">
      <c r="A126" s="831"/>
      <c r="B126" s="833"/>
      <c r="C126" s="1040"/>
      <c r="D126" s="831"/>
      <c r="E126" s="831"/>
      <c r="F126" s="832"/>
      <c r="G126" s="832"/>
      <c r="H126" s="832"/>
      <c r="I126" s="831"/>
      <c r="J126" s="832"/>
      <c r="K126" s="832"/>
    </row>
    <row r="127" spans="1:11" ht="16.5">
      <c r="A127" s="831"/>
      <c r="B127" s="833"/>
      <c r="C127" s="1040"/>
      <c r="D127" s="831"/>
      <c r="E127" s="831"/>
      <c r="F127" s="832"/>
      <c r="G127" s="832"/>
      <c r="H127" s="832"/>
      <c r="I127" s="831"/>
      <c r="J127" s="832"/>
      <c r="K127" s="832"/>
    </row>
    <row r="128" spans="1:11" ht="16.5">
      <c r="A128" s="831"/>
      <c r="B128" s="833"/>
      <c r="C128" s="1040"/>
      <c r="D128" s="831"/>
      <c r="E128" s="831"/>
      <c r="F128" s="832"/>
      <c r="G128" s="832"/>
      <c r="H128" s="832"/>
      <c r="I128" s="831"/>
      <c r="J128" s="832"/>
      <c r="K128" s="832"/>
    </row>
    <row r="129" spans="1:11" ht="16.5">
      <c r="A129" s="831"/>
      <c r="B129" s="833"/>
      <c r="C129" s="1040"/>
      <c r="D129" s="831"/>
      <c r="E129" s="831"/>
      <c r="F129" s="832"/>
      <c r="G129" s="832"/>
      <c r="H129" s="832"/>
      <c r="I129" s="831"/>
      <c r="J129" s="832"/>
      <c r="K129" s="832"/>
    </row>
    <row r="130" spans="1:11" ht="16.5">
      <c r="A130" s="831"/>
      <c r="B130" s="833"/>
      <c r="C130" s="1040"/>
      <c r="D130" s="831"/>
      <c r="E130" s="831"/>
      <c r="F130" s="832"/>
      <c r="G130" s="832"/>
      <c r="H130" s="832"/>
      <c r="I130" s="831"/>
      <c r="J130" s="832"/>
      <c r="K130" s="832"/>
    </row>
    <row r="131" spans="1:11" ht="16.5">
      <c r="A131" s="831"/>
      <c r="B131" s="833"/>
      <c r="C131" s="1040"/>
      <c r="D131" s="831"/>
      <c r="E131" s="831"/>
      <c r="F131" s="832"/>
      <c r="G131" s="832"/>
      <c r="H131" s="832"/>
      <c r="I131" s="831"/>
      <c r="J131" s="832"/>
      <c r="K131" s="832"/>
    </row>
    <row r="132" spans="1:11" ht="16.5">
      <c r="A132" s="831"/>
      <c r="B132" s="833"/>
      <c r="C132" s="1040"/>
      <c r="D132" s="831"/>
      <c r="E132" s="831"/>
      <c r="F132" s="832"/>
      <c r="G132" s="832"/>
      <c r="H132" s="832"/>
      <c r="I132" s="831"/>
      <c r="J132" s="832"/>
      <c r="K132" s="832"/>
    </row>
    <row r="133" spans="1:11" ht="16.5">
      <c r="A133" s="831"/>
      <c r="B133" s="833"/>
      <c r="C133" s="1040"/>
      <c r="D133" s="831"/>
      <c r="E133" s="831"/>
      <c r="F133" s="832"/>
      <c r="G133" s="832"/>
      <c r="H133" s="832"/>
      <c r="I133" s="831"/>
      <c r="J133" s="832"/>
      <c r="K133" s="832"/>
    </row>
    <row r="134" spans="1:11" ht="16.5">
      <c r="A134" s="831"/>
      <c r="B134" s="833"/>
      <c r="C134" s="1040"/>
      <c r="D134" s="831"/>
      <c r="E134" s="831"/>
      <c r="F134" s="832"/>
      <c r="G134" s="832"/>
      <c r="H134" s="832"/>
      <c r="I134" s="831"/>
      <c r="J134" s="832"/>
      <c r="K134" s="832"/>
    </row>
    <row r="135" spans="1:11" ht="16.5">
      <c r="A135" s="831"/>
      <c r="B135" s="833"/>
      <c r="C135" s="1040"/>
      <c r="D135" s="831"/>
      <c r="E135" s="831"/>
      <c r="F135" s="832"/>
      <c r="G135" s="832"/>
      <c r="H135" s="832"/>
      <c r="I135" s="831"/>
      <c r="J135" s="832"/>
      <c r="K135" s="832"/>
    </row>
    <row r="136" spans="1:11" ht="16.5">
      <c r="A136" s="831"/>
      <c r="B136" s="833"/>
      <c r="C136" s="1040"/>
      <c r="D136" s="831"/>
      <c r="E136" s="831"/>
      <c r="F136" s="832"/>
      <c r="G136" s="832"/>
      <c r="H136" s="832"/>
      <c r="I136" s="831"/>
      <c r="J136" s="832"/>
      <c r="K136" s="832"/>
    </row>
    <row r="137" spans="1:11" ht="16.5">
      <c r="A137" s="831"/>
      <c r="B137" s="833"/>
      <c r="C137" s="1040"/>
      <c r="D137" s="831"/>
      <c r="E137" s="831"/>
      <c r="F137" s="832"/>
      <c r="G137" s="832"/>
      <c r="H137" s="832"/>
      <c r="I137" s="831"/>
      <c r="J137" s="832"/>
      <c r="K137" s="832"/>
    </row>
    <row r="138" spans="1:11" ht="16.5">
      <c r="A138" s="831"/>
      <c r="B138" s="833"/>
      <c r="C138" s="1040"/>
      <c r="D138" s="831"/>
      <c r="E138" s="831"/>
      <c r="F138" s="832"/>
      <c r="G138" s="832"/>
      <c r="H138" s="832"/>
      <c r="I138" s="831"/>
      <c r="J138" s="832"/>
      <c r="K138" s="832"/>
    </row>
    <row r="139" spans="1:11" ht="16.5">
      <c r="A139" s="831"/>
      <c r="B139" s="833"/>
      <c r="C139" s="1040"/>
      <c r="D139" s="831"/>
      <c r="E139" s="831"/>
      <c r="F139" s="832"/>
      <c r="G139" s="832"/>
      <c r="H139" s="832"/>
      <c r="I139" s="831"/>
      <c r="J139" s="832"/>
      <c r="K139" s="832"/>
    </row>
    <row r="140" spans="1:11" ht="16.5">
      <c r="A140" s="831"/>
      <c r="B140" s="833"/>
      <c r="C140" s="1040"/>
      <c r="D140" s="831"/>
      <c r="E140" s="831"/>
      <c r="F140" s="832"/>
      <c r="G140" s="832"/>
      <c r="H140" s="832"/>
      <c r="I140" s="831"/>
      <c r="J140" s="832"/>
      <c r="K140" s="832"/>
    </row>
    <row r="141" spans="1:11" ht="16.5">
      <c r="A141" s="831"/>
      <c r="B141" s="833"/>
      <c r="C141" s="1040"/>
      <c r="D141" s="831"/>
      <c r="E141" s="831"/>
      <c r="F141" s="832"/>
      <c r="G141" s="832"/>
      <c r="H141" s="832"/>
      <c r="I141" s="831"/>
      <c r="J141" s="832"/>
      <c r="K141" s="832"/>
    </row>
    <row r="142" spans="1:11" ht="16.5">
      <c r="A142" s="831"/>
      <c r="B142" s="833"/>
      <c r="C142" s="1040"/>
      <c r="D142" s="831"/>
      <c r="E142" s="831"/>
      <c r="F142" s="832"/>
      <c r="G142" s="832"/>
      <c r="H142" s="832"/>
      <c r="I142" s="831"/>
      <c r="J142" s="832"/>
      <c r="K142" s="832"/>
    </row>
    <row r="143" spans="1:11" ht="16.5">
      <c r="A143" s="831"/>
      <c r="B143" s="833"/>
      <c r="C143" s="1040"/>
      <c r="D143" s="831"/>
      <c r="E143" s="831"/>
      <c r="F143" s="832"/>
      <c r="G143" s="832"/>
      <c r="H143" s="832"/>
      <c r="I143" s="831"/>
      <c r="J143" s="832"/>
      <c r="K143" s="832"/>
    </row>
    <row r="144" spans="1:11" ht="16.5">
      <c r="A144" s="831"/>
      <c r="B144" s="833"/>
      <c r="C144" s="1040"/>
      <c r="D144" s="831"/>
      <c r="E144" s="831"/>
      <c r="F144" s="832"/>
      <c r="G144" s="832"/>
      <c r="H144" s="832"/>
      <c r="I144" s="831"/>
      <c r="J144" s="832"/>
      <c r="K144" s="832"/>
    </row>
    <row r="145" spans="1:11" ht="16.5">
      <c r="A145" s="831"/>
      <c r="B145" s="833"/>
      <c r="C145" s="1040"/>
      <c r="D145" s="831"/>
      <c r="E145" s="831"/>
      <c r="F145" s="832"/>
      <c r="G145" s="832"/>
      <c r="H145" s="832"/>
      <c r="I145" s="831"/>
      <c r="J145" s="832"/>
      <c r="K145" s="832"/>
    </row>
    <row r="146" spans="1:11" ht="16.5">
      <c r="A146" s="831"/>
      <c r="B146" s="833"/>
      <c r="C146" s="1040"/>
      <c r="D146" s="831"/>
      <c r="E146" s="831"/>
      <c r="F146" s="832"/>
      <c r="G146" s="832"/>
      <c r="H146" s="832"/>
      <c r="I146" s="831"/>
      <c r="J146" s="832"/>
      <c r="K146" s="832"/>
    </row>
    <row r="147" spans="1:11" ht="16.5">
      <c r="A147" s="831"/>
      <c r="B147" s="833"/>
      <c r="C147" s="1040"/>
      <c r="D147" s="831"/>
      <c r="E147" s="831"/>
      <c r="F147" s="832"/>
      <c r="G147" s="832"/>
      <c r="H147" s="832"/>
      <c r="I147" s="831"/>
      <c r="J147" s="832"/>
      <c r="K147" s="832"/>
    </row>
    <row r="148" spans="1:11" ht="16.5">
      <c r="A148" s="831"/>
      <c r="B148" s="833"/>
      <c r="C148" s="1040"/>
      <c r="D148" s="831"/>
      <c r="E148" s="831"/>
      <c r="F148" s="832"/>
      <c r="G148" s="832"/>
      <c r="H148" s="832"/>
      <c r="I148" s="831"/>
      <c r="J148" s="832"/>
      <c r="K148" s="832"/>
    </row>
    <row r="149" spans="1:11" ht="16.5">
      <c r="A149" s="831"/>
      <c r="B149" s="833"/>
      <c r="C149" s="1040"/>
      <c r="D149" s="831"/>
      <c r="E149" s="831"/>
      <c r="F149" s="832"/>
      <c r="G149" s="832"/>
      <c r="H149" s="832"/>
      <c r="I149" s="831"/>
      <c r="J149" s="832"/>
      <c r="K149" s="832"/>
    </row>
    <row r="150" spans="1:11" ht="16.5">
      <c r="A150" s="831"/>
      <c r="B150" s="833"/>
      <c r="C150" s="1040"/>
      <c r="D150" s="831"/>
      <c r="E150" s="831"/>
      <c r="F150" s="832"/>
      <c r="G150" s="832"/>
      <c r="H150" s="832"/>
      <c r="I150" s="831"/>
      <c r="J150" s="832"/>
      <c r="K150" s="832"/>
    </row>
    <row r="151" spans="1:11" ht="16.5">
      <c r="A151" s="831"/>
      <c r="B151" s="833"/>
      <c r="C151" s="1040"/>
      <c r="D151" s="831"/>
      <c r="E151" s="831"/>
      <c r="F151" s="832"/>
      <c r="G151" s="832"/>
      <c r="H151" s="832"/>
      <c r="I151" s="831"/>
      <c r="J151" s="832"/>
      <c r="K151" s="832"/>
    </row>
    <row r="152" spans="1:11" ht="16.5">
      <c r="A152" s="831"/>
      <c r="B152" s="833"/>
      <c r="C152" s="1040"/>
      <c r="D152" s="831"/>
      <c r="E152" s="831"/>
      <c r="F152" s="832"/>
      <c r="G152" s="832"/>
      <c r="H152" s="832"/>
      <c r="I152" s="831"/>
      <c r="J152" s="832"/>
      <c r="K152" s="832"/>
    </row>
    <row r="153" spans="1:11" ht="16.5">
      <c r="A153" s="831"/>
      <c r="B153" s="833"/>
      <c r="C153" s="1040"/>
      <c r="D153" s="831"/>
      <c r="E153" s="831"/>
      <c r="F153" s="832"/>
      <c r="G153" s="832"/>
      <c r="H153" s="832"/>
      <c r="I153" s="831"/>
      <c r="J153" s="832"/>
      <c r="K153" s="832"/>
    </row>
    <row r="154" spans="1:11" ht="16.5">
      <c r="A154" s="831"/>
      <c r="B154" s="833"/>
      <c r="C154" s="1040"/>
      <c r="D154" s="831"/>
      <c r="E154" s="831"/>
      <c r="F154" s="832"/>
      <c r="G154" s="832"/>
      <c r="H154" s="832"/>
      <c r="I154" s="831"/>
      <c r="J154" s="832"/>
      <c r="K154" s="832"/>
    </row>
    <row r="155" spans="1:11" ht="16.5">
      <c r="A155" s="831"/>
      <c r="B155" s="833"/>
      <c r="C155" s="1040"/>
      <c r="D155" s="831"/>
      <c r="E155" s="831"/>
      <c r="F155" s="832"/>
      <c r="G155" s="832"/>
      <c r="H155" s="832"/>
      <c r="I155" s="831"/>
      <c r="J155" s="832"/>
      <c r="K155" s="832"/>
    </row>
    <row r="156" spans="1:11" ht="16.5">
      <c r="A156" s="831"/>
      <c r="B156" s="833"/>
      <c r="C156" s="1040"/>
      <c r="D156" s="831"/>
      <c r="E156" s="831"/>
      <c r="F156" s="832"/>
      <c r="G156" s="832"/>
      <c r="H156" s="832"/>
      <c r="I156" s="831"/>
      <c r="J156" s="832"/>
      <c r="K156" s="832"/>
    </row>
    <row r="157" spans="1:11" ht="16.5">
      <c r="A157" s="831"/>
      <c r="B157" s="833"/>
      <c r="C157" s="1040"/>
      <c r="D157" s="831"/>
      <c r="E157" s="831"/>
      <c r="F157" s="832"/>
      <c r="G157" s="832"/>
      <c r="H157" s="832"/>
      <c r="I157" s="831"/>
      <c r="J157" s="832"/>
      <c r="K157" s="832"/>
    </row>
    <row r="158" spans="1:11" ht="16.5">
      <c r="A158" s="831"/>
      <c r="B158" s="833"/>
      <c r="C158" s="1040"/>
      <c r="D158" s="831"/>
      <c r="E158" s="831"/>
      <c r="F158" s="832"/>
      <c r="G158" s="832"/>
      <c r="H158" s="832"/>
      <c r="I158" s="831"/>
      <c r="J158" s="832"/>
      <c r="K158" s="832"/>
    </row>
    <row r="159" spans="1:11" ht="16.5">
      <c r="A159" s="831"/>
      <c r="B159" s="833"/>
      <c r="C159" s="1040"/>
      <c r="D159" s="831"/>
      <c r="E159" s="831"/>
      <c r="F159" s="832"/>
      <c r="G159" s="832"/>
      <c r="H159" s="832"/>
      <c r="I159" s="831"/>
      <c r="J159" s="832"/>
      <c r="K159" s="832"/>
    </row>
    <row r="160" spans="1:11" ht="16.5">
      <c r="A160" s="831"/>
      <c r="B160" s="833"/>
      <c r="C160" s="1040"/>
      <c r="D160" s="831"/>
      <c r="E160" s="831"/>
      <c r="F160" s="832"/>
      <c r="G160" s="832"/>
      <c r="H160" s="832"/>
      <c r="I160" s="831"/>
      <c r="J160" s="832"/>
      <c r="K160" s="832"/>
    </row>
    <row r="161" spans="1:11" ht="16.5">
      <c r="A161" s="831"/>
      <c r="B161" s="833"/>
      <c r="C161" s="1040"/>
      <c r="D161" s="831"/>
      <c r="E161" s="831"/>
      <c r="F161" s="832"/>
      <c r="G161" s="832"/>
      <c r="H161" s="832"/>
      <c r="I161" s="831"/>
      <c r="J161" s="832"/>
      <c r="K161" s="832"/>
    </row>
    <row r="162" spans="1:11" ht="16.5">
      <c r="A162" s="831"/>
      <c r="B162" s="833"/>
      <c r="C162" s="1040"/>
      <c r="D162" s="831"/>
      <c r="E162" s="831"/>
      <c r="F162" s="832"/>
      <c r="G162" s="832"/>
      <c r="H162" s="832"/>
      <c r="I162" s="831"/>
      <c r="J162" s="832"/>
      <c r="K162" s="832"/>
    </row>
    <row r="163" spans="1:11" ht="16.5">
      <c r="A163" s="831"/>
      <c r="B163" s="833"/>
      <c r="C163" s="1040"/>
      <c r="D163" s="831"/>
      <c r="E163" s="831"/>
      <c r="F163" s="832"/>
      <c r="G163" s="832"/>
      <c r="H163" s="832"/>
      <c r="I163" s="831"/>
      <c r="J163" s="832"/>
      <c r="K163" s="832"/>
    </row>
    <row r="164" spans="1:11" ht="16.5">
      <c r="A164" s="831"/>
      <c r="B164" s="833"/>
      <c r="C164" s="1040"/>
      <c r="D164" s="831"/>
      <c r="E164" s="831"/>
      <c r="F164" s="832"/>
      <c r="G164" s="832"/>
      <c r="H164" s="832"/>
      <c r="I164" s="831"/>
      <c r="J164" s="832"/>
      <c r="K164" s="832"/>
    </row>
    <row r="165" spans="1:11" ht="16.5">
      <c r="A165" s="831"/>
      <c r="B165" s="833"/>
      <c r="C165" s="1040"/>
      <c r="D165" s="831"/>
      <c r="E165" s="831"/>
      <c r="F165" s="832"/>
      <c r="G165" s="832"/>
      <c r="H165" s="832"/>
      <c r="I165" s="831"/>
      <c r="J165" s="832"/>
      <c r="K165" s="832"/>
    </row>
    <row r="166" spans="1:11" ht="16.5">
      <c r="A166" s="831"/>
      <c r="B166" s="833"/>
      <c r="C166" s="1040"/>
      <c r="D166" s="831"/>
      <c r="E166" s="831"/>
      <c r="F166" s="832"/>
      <c r="G166" s="832"/>
      <c r="H166" s="832"/>
      <c r="I166" s="831"/>
      <c r="J166" s="832"/>
      <c r="K166" s="832"/>
    </row>
    <row r="167" spans="1:11" ht="16.5">
      <c r="A167" s="831"/>
      <c r="B167" s="833"/>
      <c r="C167" s="1040"/>
      <c r="D167" s="831"/>
      <c r="E167" s="831"/>
      <c r="F167" s="832"/>
      <c r="G167" s="832"/>
      <c r="H167" s="832"/>
      <c r="I167" s="831"/>
      <c r="J167" s="832"/>
      <c r="K167" s="832"/>
    </row>
    <row r="168" spans="1:11" ht="16.5">
      <c r="A168" s="831"/>
      <c r="B168" s="833"/>
      <c r="C168" s="1040"/>
      <c r="D168" s="831"/>
      <c r="E168" s="831"/>
      <c r="F168" s="832"/>
      <c r="G168" s="832"/>
      <c r="H168" s="832"/>
      <c r="I168" s="831"/>
      <c r="J168" s="832"/>
      <c r="K168" s="832"/>
    </row>
    <row r="169" spans="1:11" ht="16.5">
      <c r="A169" s="831"/>
      <c r="B169" s="833"/>
      <c r="C169" s="1040"/>
      <c r="D169" s="831"/>
      <c r="E169" s="831"/>
      <c r="F169" s="832"/>
      <c r="G169" s="832"/>
      <c r="H169" s="832"/>
      <c r="I169" s="831"/>
      <c r="J169" s="832"/>
      <c r="K169" s="832"/>
    </row>
    <row r="170" spans="1:11" ht="16.5">
      <c r="A170" s="831"/>
      <c r="B170" s="833"/>
      <c r="C170" s="1040"/>
      <c r="D170" s="831"/>
      <c r="E170" s="831"/>
      <c r="F170" s="832"/>
      <c r="G170" s="832"/>
      <c r="H170" s="832"/>
      <c r="I170" s="831"/>
      <c r="J170" s="832"/>
      <c r="K170" s="832"/>
    </row>
    <row r="171" spans="1:11" ht="16.5">
      <c r="A171" s="831"/>
      <c r="B171" s="833"/>
      <c r="C171" s="1040"/>
      <c r="D171" s="831"/>
      <c r="E171" s="831"/>
      <c r="F171" s="832"/>
      <c r="G171" s="832"/>
      <c r="H171" s="832"/>
      <c r="I171" s="831"/>
      <c r="J171" s="832"/>
      <c r="K171" s="832"/>
    </row>
    <row r="172" spans="1:11" ht="16.5">
      <c r="A172" s="831"/>
      <c r="B172" s="833"/>
      <c r="C172" s="1040"/>
      <c r="D172" s="831"/>
      <c r="E172" s="831"/>
      <c r="F172" s="832"/>
      <c r="G172" s="832"/>
      <c r="H172" s="832"/>
      <c r="I172" s="831"/>
      <c r="J172" s="832"/>
      <c r="K172" s="832"/>
    </row>
    <row r="173" spans="1:11" ht="16.5">
      <c r="A173" s="831"/>
      <c r="B173" s="833"/>
      <c r="C173" s="1040"/>
      <c r="D173" s="831"/>
      <c r="E173" s="831"/>
      <c r="F173" s="832"/>
      <c r="G173" s="832"/>
      <c r="H173" s="832"/>
      <c r="I173" s="831"/>
      <c r="J173" s="832"/>
      <c r="K173" s="832"/>
    </row>
    <row r="174" spans="1:11" ht="16.5">
      <c r="A174" s="831"/>
      <c r="B174" s="833"/>
      <c r="C174" s="1040"/>
      <c r="D174" s="831"/>
      <c r="E174" s="831"/>
      <c r="F174" s="832"/>
      <c r="G174" s="832"/>
      <c r="H174" s="832"/>
      <c r="I174" s="831"/>
      <c r="J174" s="832"/>
      <c r="K174" s="832"/>
    </row>
    <row r="175" spans="1:11" ht="16.5">
      <c r="A175" s="831"/>
      <c r="B175" s="833"/>
      <c r="C175" s="1040"/>
      <c r="D175" s="831"/>
      <c r="E175" s="831"/>
      <c r="F175" s="832"/>
      <c r="G175" s="832"/>
      <c r="H175" s="832"/>
      <c r="I175" s="831"/>
      <c r="J175" s="832"/>
      <c r="K175" s="832"/>
    </row>
    <row r="176" spans="1:11" ht="16.5">
      <c r="A176" s="831"/>
      <c r="B176" s="833"/>
      <c r="C176" s="1040"/>
      <c r="D176" s="831"/>
      <c r="E176" s="831"/>
      <c r="F176" s="832"/>
      <c r="G176" s="832"/>
      <c r="H176" s="832"/>
      <c r="I176" s="831"/>
      <c r="J176" s="832"/>
      <c r="K176" s="832"/>
    </row>
    <row r="177" spans="1:11" ht="16.5">
      <c r="A177" s="831"/>
      <c r="B177" s="833"/>
      <c r="C177" s="1040"/>
      <c r="D177" s="831"/>
      <c r="E177" s="831"/>
      <c r="F177" s="832"/>
      <c r="G177" s="832"/>
      <c r="H177" s="832"/>
      <c r="I177" s="831"/>
      <c r="J177" s="832"/>
      <c r="K177" s="832"/>
    </row>
    <row r="178" spans="1:11" ht="16.5">
      <c r="A178" s="831"/>
      <c r="B178" s="833"/>
      <c r="C178" s="1040"/>
      <c r="D178" s="831"/>
      <c r="E178" s="831"/>
      <c r="F178" s="832"/>
      <c r="G178" s="832"/>
      <c r="H178" s="832"/>
      <c r="I178" s="831"/>
      <c r="J178" s="832"/>
      <c r="K178" s="832"/>
    </row>
    <row r="179" spans="1:11" ht="16.5">
      <c r="A179" s="831"/>
      <c r="B179" s="833"/>
      <c r="C179" s="1040"/>
      <c r="D179" s="831"/>
      <c r="E179" s="831"/>
      <c r="F179" s="832"/>
      <c r="G179" s="832"/>
      <c r="H179" s="832"/>
      <c r="I179" s="831"/>
      <c r="J179" s="832"/>
      <c r="K179" s="832"/>
    </row>
    <row r="180" spans="1:11" ht="16.5">
      <c r="A180" s="831"/>
      <c r="B180" s="833"/>
      <c r="C180" s="1040"/>
      <c r="D180" s="831"/>
      <c r="E180" s="831"/>
      <c r="F180" s="832"/>
      <c r="G180" s="832"/>
      <c r="H180" s="832"/>
      <c r="I180" s="831"/>
      <c r="J180" s="832"/>
      <c r="K180" s="832"/>
    </row>
    <row r="181" spans="1:11" ht="16.5">
      <c r="A181" s="831"/>
      <c r="B181" s="833"/>
      <c r="C181" s="1040"/>
      <c r="D181" s="831"/>
      <c r="E181" s="831"/>
      <c r="F181" s="832"/>
      <c r="G181" s="832"/>
      <c r="H181" s="832"/>
      <c r="I181" s="831"/>
      <c r="J181" s="832"/>
      <c r="K181" s="832"/>
    </row>
    <row r="182" spans="1:11" ht="16.5">
      <c r="A182" s="831"/>
      <c r="B182" s="833"/>
      <c r="C182" s="1040"/>
      <c r="D182" s="831"/>
      <c r="E182" s="831"/>
      <c r="F182" s="832"/>
      <c r="G182" s="832"/>
      <c r="H182" s="832"/>
      <c r="I182" s="831"/>
      <c r="J182" s="832"/>
      <c r="K182" s="832"/>
    </row>
    <row r="183" spans="1:11" ht="16.5">
      <c r="A183" s="831"/>
      <c r="B183" s="833"/>
      <c r="C183" s="1040"/>
      <c r="D183" s="831"/>
      <c r="E183" s="831"/>
      <c r="F183" s="832"/>
      <c r="G183" s="832"/>
      <c r="H183" s="832"/>
      <c r="I183" s="831"/>
      <c r="J183" s="832"/>
      <c r="K183" s="832"/>
    </row>
    <row r="184" spans="1:11" ht="16.5">
      <c r="A184" s="831"/>
      <c r="B184" s="833"/>
      <c r="C184" s="1040"/>
      <c r="D184" s="831"/>
      <c r="E184" s="831"/>
      <c r="F184" s="832"/>
      <c r="G184" s="832"/>
      <c r="H184" s="832"/>
      <c r="I184" s="831"/>
      <c r="J184" s="832"/>
      <c r="K184" s="832"/>
    </row>
    <row r="185" spans="1:11" ht="16.5">
      <c r="A185" s="831"/>
      <c r="B185" s="833"/>
      <c r="C185" s="1040"/>
      <c r="D185" s="831"/>
      <c r="E185" s="831"/>
      <c r="F185" s="832"/>
      <c r="G185" s="832"/>
      <c r="H185" s="832"/>
      <c r="I185" s="831"/>
      <c r="J185" s="832"/>
      <c r="K185" s="832"/>
    </row>
    <row r="186" spans="1:11" ht="16.5">
      <c r="A186" s="831"/>
      <c r="B186" s="833"/>
      <c r="C186" s="1040"/>
      <c r="D186" s="831"/>
      <c r="E186" s="831"/>
      <c r="F186" s="832"/>
      <c r="G186" s="832"/>
      <c r="H186" s="832"/>
      <c r="I186" s="831"/>
      <c r="J186" s="832"/>
      <c r="K186" s="832"/>
    </row>
    <row r="187" spans="1:11" ht="16.5">
      <c r="A187" s="831"/>
      <c r="B187" s="833"/>
      <c r="C187" s="1040"/>
      <c r="D187" s="831"/>
      <c r="E187" s="831"/>
      <c r="F187" s="832"/>
      <c r="G187" s="832"/>
      <c r="H187" s="832"/>
      <c r="I187" s="831"/>
      <c r="J187" s="832"/>
      <c r="K187" s="832"/>
    </row>
    <row r="188" spans="1:11" ht="16.5">
      <c r="A188" s="831"/>
      <c r="B188" s="833"/>
      <c r="C188" s="1040"/>
      <c r="D188" s="831"/>
      <c r="E188" s="831"/>
      <c r="F188" s="832"/>
      <c r="G188" s="832"/>
      <c r="H188" s="832"/>
      <c r="I188" s="831"/>
      <c r="J188" s="832"/>
      <c r="K188" s="832"/>
    </row>
    <row r="189" spans="1:11" ht="16.5">
      <c r="A189" s="831"/>
      <c r="B189" s="833"/>
      <c r="C189" s="1040"/>
      <c r="D189" s="831"/>
      <c r="E189" s="831"/>
      <c r="F189" s="832"/>
      <c r="G189" s="832"/>
      <c r="H189" s="832"/>
      <c r="I189" s="831"/>
      <c r="J189" s="832"/>
      <c r="K189" s="832"/>
    </row>
    <row r="190" spans="1:11" ht="16.5">
      <c r="A190" s="831"/>
      <c r="B190" s="833"/>
      <c r="C190" s="1040"/>
      <c r="D190" s="831"/>
      <c r="E190" s="831"/>
      <c r="F190" s="832"/>
      <c r="G190" s="832"/>
      <c r="H190" s="832"/>
      <c r="I190" s="831"/>
      <c r="J190" s="832"/>
      <c r="K190" s="832"/>
    </row>
    <row r="191" spans="1:11" ht="16.5">
      <c r="A191" s="831"/>
      <c r="B191" s="833"/>
      <c r="C191" s="1040"/>
      <c r="D191" s="831"/>
      <c r="E191" s="831"/>
      <c r="F191" s="832"/>
      <c r="G191" s="832"/>
      <c r="H191" s="832"/>
      <c r="I191" s="831"/>
      <c r="J191" s="832"/>
      <c r="K191" s="832"/>
    </row>
    <row r="192" spans="1:11" ht="16.5">
      <c r="A192" s="831"/>
      <c r="B192" s="833"/>
      <c r="C192" s="1040"/>
      <c r="D192" s="831"/>
      <c r="E192" s="831"/>
      <c r="F192" s="832"/>
      <c r="G192" s="832"/>
      <c r="H192" s="832"/>
      <c r="I192" s="831"/>
      <c r="J192" s="832"/>
      <c r="K192" s="832"/>
    </row>
    <row r="193" spans="1:11" ht="16.5">
      <c r="A193" s="831"/>
      <c r="B193" s="833"/>
      <c r="C193" s="1040"/>
      <c r="D193" s="831"/>
      <c r="E193" s="831"/>
      <c r="F193" s="832"/>
      <c r="G193" s="832"/>
      <c r="H193" s="832"/>
      <c r="I193" s="831"/>
      <c r="J193" s="832"/>
      <c r="K193" s="832"/>
    </row>
    <row r="194" spans="1:11" ht="16.5">
      <c r="A194" s="831"/>
      <c r="B194" s="833"/>
      <c r="C194" s="1040"/>
      <c r="D194" s="831"/>
      <c r="E194" s="831"/>
      <c r="F194" s="832"/>
      <c r="G194" s="832"/>
      <c r="H194" s="832"/>
      <c r="I194" s="831"/>
      <c r="J194" s="832"/>
      <c r="K194" s="832"/>
    </row>
    <row r="195" spans="1:11" ht="16.5">
      <c r="A195" s="831"/>
      <c r="B195" s="833"/>
      <c r="C195" s="1040"/>
      <c r="D195" s="831"/>
      <c r="E195" s="831"/>
      <c r="F195" s="832"/>
      <c r="G195" s="832"/>
      <c r="H195" s="832"/>
      <c r="I195" s="831"/>
      <c r="J195" s="832"/>
      <c r="K195" s="832"/>
    </row>
    <row r="196" spans="1:11" ht="16.5">
      <c r="A196" s="831"/>
      <c r="B196" s="833"/>
      <c r="C196" s="1040"/>
      <c r="D196" s="831"/>
      <c r="E196" s="831"/>
      <c r="F196" s="832"/>
      <c r="G196" s="832"/>
      <c r="H196" s="832"/>
      <c r="I196" s="831"/>
      <c r="J196" s="832"/>
      <c r="K196" s="832"/>
    </row>
    <row r="197" spans="1:11" ht="16.5">
      <c r="A197" s="831"/>
      <c r="B197" s="833"/>
      <c r="C197" s="1040"/>
      <c r="D197" s="831"/>
      <c r="E197" s="831"/>
      <c r="F197" s="832"/>
      <c r="G197" s="832"/>
      <c r="H197" s="832"/>
      <c r="I197" s="831"/>
      <c r="J197" s="832"/>
      <c r="K197" s="832"/>
    </row>
    <row r="198" spans="1:11" ht="16.5">
      <c r="A198" s="831"/>
      <c r="B198" s="833"/>
      <c r="C198" s="1040"/>
      <c r="D198" s="831"/>
      <c r="E198" s="831"/>
      <c r="F198" s="832"/>
      <c r="G198" s="832"/>
      <c r="H198" s="832"/>
      <c r="I198" s="831"/>
      <c r="J198" s="832"/>
      <c r="K198" s="832"/>
    </row>
    <row r="199" spans="1:11" ht="16.5">
      <c r="A199" s="831"/>
      <c r="B199" s="833"/>
      <c r="C199" s="1040"/>
      <c r="D199" s="831"/>
      <c r="E199" s="831"/>
      <c r="F199" s="832"/>
      <c r="G199" s="832"/>
      <c r="H199" s="832"/>
      <c r="I199" s="831"/>
      <c r="J199" s="832"/>
      <c r="K199" s="832"/>
    </row>
    <row r="200" spans="1:11" ht="16.5">
      <c r="A200" s="831"/>
      <c r="B200" s="833"/>
      <c r="C200" s="1040"/>
      <c r="D200" s="831"/>
      <c r="E200" s="831"/>
      <c r="F200" s="832"/>
      <c r="G200" s="832"/>
      <c r="H200" s="832"/>
      <c r="I200" s="831"/>
      <c r="J200" s="832"/>
      <c r="K200" s="832"/>
    </row>
    <row r="201" spans="1:11" ht="16.5">
      <c r="A201" s="831"/>
      <c r="B201" s="833"/>
      <c r="C201" s="1040"/>
      <c r="D201" s="831"/>
      <c r="E201" s="831"/>
      <c r="F201" s="832"/>
      <c r="G201" s="832"/>
      <c r="H201" s="832"/>
      <c r="I201" s="831"/>
      <c r="J201" s="832"/>
      <c r="K201" s="832"/>
    </row>
    <row r="202" spans="1:11" ht="16.5">
      <c r="A202" s="831"/>
      <c r="B202" s="833"/>
      <c r="C202" s="1040"/>
      <c r="D202" s="831"/>
      <c r="E202" s="831"/>
      <c r="F202" s="832"/>
      <c r="G202" s="832"/>
      <c r="H202" s="832"/>
      <c r="I202" s="831"/>
      <c r="J202" s="832"/>
      <c r="K202" s="832"/>
    </row>
    <row r="203" spans="1:11" ht="16.5">
      <c r="A203" s="831"/>
      <c r="B203" s="833"/>
      <c r="C203" s="1040"/>
      <c r="D203" s="831"/>
      <c r="E203" s="831"/>
      <c r="F203" s="832"/>
      <c r="G203" s="832"/>
      <c r="H203" s="832"/>
      <c r="I203" s="831"/>
      <c r="J203" s="832"/>
      <c r="K203" s="832"/>
    </row>
    <row r="204" spans="1:11" ht="16.5">
      <c r="A204" s="831"/>
      <c r="B204" s="833"/>
      <c r="C204" s="1040"/>
      <c r="D204" s="831"/>
      <c r="E204" s="831"/>
      <c r="F204" s="832"/>
      <c r="G204" s="832"/>
      <c r="H204" s="832"/>
      <c r="I204" s="831"/>
      <c r="J204" s="832"/>
      <c r="K204" s="832"/>
    </row>
    <row r="205" spans="1:11" ht="16.5">
      <c r="A205" s="831"/>
      <c r="B205" s="833"/>
      <c r="C205" s="1040"/>
      <c r="D205" s="831"/>
      <c r="E205" s="831"/>
      <c r="F205" s="832"/>
      <c r="G205" s="832"/>
      <c r="H205" s="832"/>
      <c r="I205" s="831"/>
      <c r="J205" s="832"/>
      <c r="K205" s="832"/>
    </row>
    <row r="206" spans="1:11" ht="16.5">
      <c r="A206" s="831"/>
      <c r="B206" s="833"/>
      <c r="C206" s="1040"/>
      <c r="D206" s="831"/>
      <c r="E206" s="831"/>
      <c r="F206" s="832"/>
      <c r="G206" s="832"/>
      <c r="H206" s="832"/>
      <c r="I206" s="831"/>
      <c r="J206" s="832"/>
      <c r="K206" s="832"/>
    </row>
    <row r="207" spans="1:11" ht="16.5">
      <c r="A207" s="831"/>
      <c r="B207" s="833"/>
      <c r="C207" s="1040"/>
      <c r="D207" s="831"/>
      <c r="E207" s="831"/>
      <c r="F207" s="832"/>
      <c r="G207" s="832"/>
      <c r="H207" s="832"/>
      <c r="I207" s="831"/>
      <c r="J207" s="832"/>
      <c r="K207" s="832"/>
    </row>
    <row r="208" spans="1:11" ht="16.5">
      <c r="A208" s="831"/>
      <c r="B208" s="833"/>
      <c r="C208" s="1040"/>
      <c r="D208" s="831"/>
      <c r="E208" s="831"/>
      <c r="F208" s="832"/>
      <c r="G208" s="832"/>
      <c r="H208" s="832"/>
      <c r="I208" s="831"/>
      <c r="J208" s="832"/>
      <c r="K208" s="832"/>
    </row>
    <row r="209" spans="1:11" ht="16.5">
      <c r="A209" s="831"/>
      <c r="B209" s="833"/>
      <c r="C209" s="1040"/>
      <c r="D209" s="831"/>
      <c r="E209" s="831"/>
      <c r="F209" s="832"/>
      <c r="G209" s="832"/>
      <c r="H209" s="832"/>
      <c r="I209" s="831"/>
      <c r="J209" s="832"/>
      <c r="K209" s="832"/>
    </row>
    <row r="210" spans="1:11" ht="16.5">
      <c r="A210" s="831"/>
      <c r="B210" s="833"/>
      <c r="C210" s="1040"/>
      <c r="D210" s="831"/>
      <c r="E210" s="831"/>
      <c r="F210" s="832"/>
      <c r="G210" s="832"/>
      <c r="H210" s="832"/>
      <c r="I210" s="831"/>
      <c r="J210" s="832"/>
      <c r="K210" s="832"/>
    </row>
    <row r="211" spans="1:11" ht="16.5">
      <c r="A211" s="831"/>
      <c r="B211" s="833"/>
      <c r="C211" s="1040"/>
      <c r="D211" s="831"/>
      <c r="E211" s="831"/>
      <c r="F211" s="832"/>
      <c r="G211" s="832"/>
      <c r="H211" s="832"/>
      <c r="I211" s="831"/>
      <c r="J211" s="832"/>
      <c r="K211" s="832"/>
    </row>
    <row r="212" spans="1:11" ht="16.5">
      <c r="A212" s="831"/>
      <c r="B212" s="833"/>
      <c r="C212" s="1040"/>
      <c r="D212" s="831"/>
      <c r="E212" s="831"/>
      <c r="F212" s="832"/>
      <c r="G212" s="832"/>
      <c r="H212" s="832"/>
      <c r="I212" s="831"/>
      <c r="J212" s="832"/>
      <c r="K212" s="832"/>
    </row>
    <row r="213" spans="1:11" ht="16.5">
      <c r="A213" s="831"/>
      <c r="B213" s="833"/>
      <c r="C213" s="1040"/>
      <c r="D213" s="831"/>
      <c r="E213" s="831"/>
      <c r="F213" s="832"/>
      <c r="G213" s="832"/>
      <c r="H213" s="832"/>
      <c r="I213" s="831"/>
      <c r="J213" s="832"/>
      <c r="K213" s="832"/>
    </row>
    <row r="214" spans="1:11" ht="16.5">
      <c r="A214" s="831"/>
      <c r="B214" s="833"/>
      <c r="C214" s="1040"/>
      <c r="D214" s="831"/>
      <c r="E214" s="831"/>
      <c r="F214" s="832"/>
      <c r="G214" s="832"/>
      <c r="H214" s="832"/>
      <c r="I214" s="831"/>
      <c r="J214" s="832"/>
      <c r="K214" s="832"/>
    </row>
    <row r="215" spans="1:11" ht="16.5">
      <c r="A215" s="831"/>
      <c r="B215" s="833"/>
      <c r="C215" s="1040"/>
      <c r="D215" s="831"/>
      <c r="E215" s="831"/>
      <c r="F215" s="832"/>
      <c r="G215" s="832"/>
      <c r="H215" s="832"/>
      <c r="I215" s="831"/>
      <c r="J215" s="832"/>
      <c r="K215" s="832"/>
    </row>
    <row r="216" spans="1:11" ht="16.5">
      <c r="A216" s="831"/>
      <c r="B216" s="833"/>
      <c r="C216" s="1040"/>
      <c r="D216" s="831"/>
      <c r="E216" s="831"/>
      <c r="F216" s="832"/>
      <c r="G216" s="832"/>
      <c r="H216" s="832"/>
      <c r="I216" s="831"/>
      <c r="J216" s="832"/>
      <c r="K216" s="832"/>
    </row>
    <row r="217" spans="1:11" ht="16.5">
      <c r="A217" s="831"/>
      <c r="B217" s="833"/>
      <c r="C217" s="1040"/>
      <c r="D217" s="831"/>
      <c r="E217" s="831"/>
      <c r="F217" s="832"/>
      <c r="G217" s="832"/>
      <c r="H217" s="832"/>
      <c r="I217" s="831"/>
      <c r="J217" s="832"/>
      <c r="K217" s="832"/>
    </row>
    <row r="218" spans="1:11" ht="16.5">
      <c r="A218" s="831"/>
      <c r="B218" s="833"/>
      <c r="C218" s="1040"/>
      <c r="D218" s="831"/>
      <c r="E218" s="831"/>
      <c r="F218" s="832"/>
      <c r="G218" s="832"/>
      <c r="H218" s="832"/>
      <c r="I218" s="831"/>
      <c r="J218" s="832"/>
      <c r="K218" s="832"/>
    </row>
    <row r="219" spans="1:11" ht="16.5">
      <c r="A219" s="831"/>
      <c r="B219" s="833"/>
      <c r="C219" s="1040"/>
      <c r="D219" s="831"/>
      <c r="E219" s="831"/>
      <c r="F219" s="832"/>
      <c r="G219" s="832"/>
      <c r="H219" s="832"/>
      <c r="I219" s="831"/>
      <c r="J219" s="832"/>
      <c r="K219" s="832"/>
    </row>
    <row r="220" spans="1:11" ht="16.5">
      <c r="A220" s="831"/>
      <c r="B220" s="833"/>
      <c r="C220" s="1040"/>
      <c r="D220" s="831"/>
      <c r="E220" s="831"/>
      <c r="F220" s="832"/>
      <c r="G220" s="832"/>
      <c r="H220" s="832"/>
      <c r="I220" s="831"/>
      <c r="J220" s="832"/>
      <c r="K220" s="832"/>
    </row>
    <row r="221" spans="1:11" ht="16.5">
      <c r="A221" s="831"/>
      <c r="B221" s="833"/>
      <c r="C221" s="1040"/>
      <c r="D221" s="831"/>
      <c r="E221" s="831"/>
      <c r="F221" s="832"/>
      <c r="G221" s="832"/>
      <c r="H221" s="832"/>
      <c r="I221" s="831"/>
      <c r="J221" s="832"/>
      <c r="K221" s="832"/>
    </row>
    <row r="222" spans="1:11" ht="16.5">
      <c r="A222" s="831"/>
      <c r="B222" s="833"/>
      <c r="C222" s="1040"/>
      <c r="D222" s="831"/>
      <c r="E222" s="831"/>
      <c r="F222" s="832"/>
      <c r="G222" s="832"/>
      <c r="H222" s="832"/>
      <c r="I222" s="831"/>
      <c r="J222" s="832"/>
      <c r="K222" s="832"/>
    </row>
    <row r="223" spans="1:11" ht="16.5">
      <c r="A223" s="831"/>
      <c r="B223" s="833"/>
      <c r="C223" s="1040"/>
      <c r="D223" s="831"/>
      <c r="E223" s="831"/>
      <c r="F223" s="832"/>
      <c r="G223" s="832"/>
      <c r="H223" s="832"/>
      <c r="I223" s="831"/>
      <c r="J223" s="832"/>
      <c r="K223" s="832"/>
    </row>
    <row r="224" spans="1:11" ht="16.5">
      <c r="A224" s="831"/>
      <c r="B224" s="833"/>
      <c r="C224" s="1040"/>
      <c r="D224" s="831"/>
      <c r="E224" s="831"/>
      <c r="F224" s="832"/>
      <c r="G224" s="832"/>
      <c r="H224" s="832"/>
      <c r="I224" s="831"/>
      <c r="J224" s="832"/>
      <c r="K224" s="832"/>
    </row>
    <row r="225" spans="1:11" ht="16.5">
      <c r="A225" s="831"/>
      <c r="B225" s="833"/>
      <c r="C225" s="1040"/>
      <c r="D225" s="831"/>
      <c r="E225" s="831"/>
      <c r="F225" s="832"/>
      <c r="G225" s="832"/>
      <c r="H225" s="832"/>
      <c r="I225" s="831"/>
      <c r="J225" s="832"/>
      <c r="K225" s="832"/>
    </row>
    <row r="226" spans="1:11" ht="16.5">
      <c r="A226" s="831"/>
      <c r="B226" s="833"/>
      <c r="C226" s="1040"/>
      <c r="D226" s="831"/>
      <c r="E226" s="831"/>
      <c r="F226" s="832"/>
      <c r="G226" s="832"/>
      <c r="H226" s="832"/>
      <c r="I226" s="831"/>
      <c r="J226" s="832"/>
      <c r="K226" s="832"/>
    </row>
    <row r="227" spans="1:11" ht="16.5">
      <c r="A227" s="831"/>
      <c r="B227" s="833"/>
      <c r="C227" s="1040"/>
      <c r="D227" s="831"/>
      <c r="E227" s="831"/>
      <c r="F227" s="832"/>
      <c r="G227" s="832"/>
      <c r="H227" s="832"/>
      <c r="I227" s="831"/>
      <c r="J227" s="832"/>
      <c r="K227" s="832"/>
    </row>
    <row r="228" spans="1:11" ht="16.5">
      <c r="A228" s="831"/>
      <c r="B228" s="833"/>
      <c r="C228" s="1040"/>
      <c r="D228" s="831"/>
      <c r="E228" s="831"/>
      <c r="F228" s="832"/>
      <c r="G228" s="832"/>
      <c r="H228" s="832"/>
      <c r="I228" s="831"/>
      <c r="J228" s="832"/>
      <c r="K228" s="832"/>
    </row>
    <row r="229" spans="1:11" ht="16.5">
      <c r="A229" s="831"/>
      <c r="B229" s="833"/>
      <c r="C229" s="1040"/>
      <c r="D229" s="831"/>
      <c r="E229" s="831"/>
      <c r="F229" s="832"/>
      <c r="G229" s="832"/>
      <c r="H229" s="832"/>
      <c r="I229" s="831"/>
      <c r="J229" s="832"/>
      <c r="K229" s="832"/>
    </row>
    <row r="230" spans="1:11" ht="16.5">
      <c r="A230" s="831"/>
      <c r="B230" s="833"/>
      <c r="C230" s="1040"/>
      <c r="D230" s="831"/>
      <c r="E230" s="831"/>
      <c r="F230" s="832"/>
      <c r="G230" s="832"/>
      <c r="H230" s="832"/>
      <c r="I230" s="831"/>
      <c r="J230" s="832"/>
      <c r="K230" s="832"/>
    </row>
    <row r="231" spans="1:11" ht="16.5">
      <c r="A231" s="831"/>
      <c r="B231" s="833"/>
      <c r="C231" s="1040"/>
      <c r="D231" s="831"/>
      <c r="E231" s="831"/>
      <c r="F231" s="832"/>
      <c r="G231" s="832"/>
      <c r="H231" s="832"/>
      <c r="I231" s="831"/>
      <c r="J231" s="832"/>
      <c r="K231" s="832"/>
    </row>
    <row r="232" spans="1:11" ht="16.5">
      <c r="A232" s="831"/>
      <c r="B232" s="833"/>
      <c r="C232" s="1040"/>
      <c r="D232" s="831"/>
      <c r="E232" s="831"/>
      <c r="F232" s="832"/>
      <c r="G232" s="832"/>
      <c r="H232" s="832"/>
      <c r="I232" s="831"/>
      <c r="J232" s="832"/>
      <c r="K232" s="832"/>
    </row>
    <row r="233" spans="1:11" ht="16.5">
      <c r="A233" s="831"/>
      <c r="B233" s="833"/>
      <c r="C233" s="1040"/>
      <c r="D233" s="831"/>
      <c r="E233" s="831"/>
      <c r="F233" s="832"/>
      <c r="G233" s="832"/>
      <c r="H233" s="832"/>
      <c r="I233" s="831"/>
      <c r="J233" s="832"/>
      <c r="K233" s="832"/>
    </row>
    <row r="234" spans="1:11" ht="16.5">
      <c r="A234" s="831"/>
      <c r="B234" s="833"/>
      <c r="C234" s="1040"/>
      <c r="D234" s="831"/>
      <c r="E234" s="831"/>
      <c r="F234" s="832"/>
      <c r="G234" s="832"/>
      <c r="H234" s="832"/>
      <c r="I234" s="831"/>
      <c r="J234" s="832"/>
      <c r="K234" s="832"/>
    </row>
    <row r="235" spans="1:11" ht="16.5">
      <c r="A235" s="831"/>
      <c r="B235" s="833"/>
      <c r="C235" s="1040"/>
      <c r="D235" s="831"/>
      <c r="E235" s="831"/>
      <c r="F235" s="832"/>
      <c r="G235" s="832"/>
      <c r="H235" s="832"/>
      <c r="I235" s="831"/>
      <c r="J235" s="832"/>
      <c r="K235" s="832"/>
    </row>
    <row r="236" spans="1:11" ht="16.5">
      <c r="A236" s="831"/>
      <c r="B236" s="833"/>
      <c r="C236" s="1040"/>
      <c r="D236" s="831"/>
      <c r="E236" s="831"/>
      <c r="F236" s="832"/>
      <c r="G236" s="832"/>
      <c r="H236" s="832"/>
      <c r="I236" s="831"/>
      <c r="J236" s="832"/>
      <c r="K236" s="832"/>
    </row>
    <row r="237" spans="1:11" ht="16.5">
      <c r="A237" s="831"/>
      <c r="B237" s="833"/>
      <c r="C237" s="1040"/>
      <c r="D237" s="831"/>
      <c r="E237" s="831"/>
      <c r="F237" s="832"/>
      <c r="G237" s="832"/>
      <c r="H237" s="832"/>
      <c r="I237" s="831"/>
      <c r="J237" s="832"/>
      <c r="K237" s="832"/>
    </row>
    <row r="238" spans="1:11" ht="16.5">
      <c r="A238" s="831"/>
      <c r="B238" s="833"/>
      <c r="C238" s="1040"/>
      <c r="D238" s="831"/>
      <c r="E238" s="831"/>
      <c r="F238" s="832"/>
      <c r="G238" s="832"/>
      <c r="H238" s="832"/>
      <c r="I238" s="831"/>
      <c r="J238" s="832"/>
      <c r="K238" s="832"/>
    </row>
    <row r="239" spans="1:11" ht="16.5">
      <c r="A239" s="831"/>
      <c r="B239" s="833"/>
      <c r="C239" s="1040"/>
      <c r="D239" s="831"/>
      <c r="E239" s="831"/>
      <c r="F239" s="832"/>
      <c r="G239" s="832"/>
      <c r="H239" s="832"/>
      <c r="I239" s="831"/>
      <c r="J239" s="832"/>
      <c r="K239" s="832"/>
    </row>
    <row r="240" spans="1:11" ht="16.5">
      <c r="A240" s="831"/>
      <c r="B240" s="833"/>
      <c r="C240" s="1040"/>
      <c r="D240" s="831"/>
      <c r="E240" s="831"/>
      <c r="F240" s="832"/>
      <c r="G240" s="832"/>
      <c r="H240" s="832"/>
      <c r="I240" s="831"/>
      <c r="J240" s="832"/>
      <c r="K240" s="832"/>
    </row>
    <row r="241" spans="1:11" ht="16.5">
      <c r="A241" s="831"/>
      <c r="B241" s="833"/>
      <c r="C241" s="1040"/>
      <c r="D241" s="831"/>
      <c r="E241" s="831"/>
      <c r="F241" s="832"/>
      <c r="G241" s="832"/>
      <c r="H241" s="832"/>
      <c r="I241" s="831"/>
      <c r="J241" s="832"/>
      <c r="K241" s="832"/>
    </row>
    <row r="242" spans="1:11" ht="16.5">
      <c r="A242" s="831"/>
      <c r="B242" s="833"/>
      <c r="C242" s="1040"/>
      <c r="D242" s="831"/>
      <c r="E242" s="831"/>
      <c r="F242" s="832"/>
      <c r="G242" s="832"/>
      <c r="H242" s="832"/>
      <c r="I242" s="831"/>
      <c r="J242" s="832"/>
      <c r="K242" s="832"/>
    </row>
    <row r="243" spans="1:11" ht="16.5">
      <c r="A243" s="831"/>
      <c r="B243" s="833"/>
      <c r="C243" s="1040"/>
      <c r="D243" s="831"/>
      <c r="E243" s="831"/>
      <c r="F243" s="832"/>
      <c r="G243" s="832"/>
      <c r="H243" s="832"/>
      <c r="I243" s="831"/>
      <c r="J243" s="832"/>
      <c r="K243" s="832"/>
    </row>
    <row r="244" spans="1:11" ht="16.5">
      <c r="A244" s="831"/>
      <c r="B244" s="833"/>
      <c r="C244" s="1040"/>
      <c r="D244" s="831"/>
      <c r="E244" s="831"/>
      <c r="F244" s="832"/>
      <c r="G244" s="832"/>
      <c r="H244" s="832"/>
      <c r="I244" s="831"/>
      <c r="J244" s="832"/>
      <c r="K244" s="832"/>
    </row>
    <row r="245" spans="1:11" ht="16.5">
      <c r="A245" s="831"/>
      <c r="B245" s="833"/>
      <c r="C245" s="1040"/>
      <c r="D245" s="831"/>
      <c r="E245" s="831"/>
      <c r="F245" s="832"/>
      <c r="G245" s="832"/>
      <c r="H245" s="832"/>
      <c r="I245" s="831"/>
      <c r="J245" s="832"/>
      <c r="K245" s="832"/>
    </row>
    <row r="246" spans="1:11" ht="16.5">
      <c r="A246" s="831"/>
      <c r="B246" s="833"/>
      <c r="C246" s="1040"/>
      <c r="D246" s="831"/>
      <c r="E246" s="831"/>
      <c r="F246" s="832"/>
      <c r="G246" s="832"/>
      <c r="H246" s="832"/>
      <c r="I246" s="831"/>
      <c r="J246" s="832"/>
      <c r="K246" s="832"/>
    </row>
    <row r="247" spans="1:11" ht="16.5">
      <c r="A247" s="831"/>
      <c r="B247" s="833"/>
      <c r="C247" s="1040"/>
      <c r="D247" s="831"/>
      <c r="E247" s="831"/>
      <c r="F247" s="832"/>
      <c r="G247" s="832"/>
      <c r="H247" s="832"/>
      <c r="I247" s="831"/>
      <c r="J247" s="832"/>
      <c r="K247" s="832"/>
    </row>
    <row r="248" spans="1:11" ht="16.5">
      <c r="A248" s="831"/>
      <c r="B248" s="833"/>
      <c r="C248" s="1040"/>
      <c r="D248" s="831"/>
      <c r="E248" s="831"/>
      <c r="F248" s="832"/>
      <c r="G248" s="832"/>
      <c r="H248" s="832"/>
      <c r="I248" s="831"/>
      <c r="J248" s="832"/>
      <c r="K248" s="832"/>
    </row>
    <row r="249" spans="1:11" ht="16.5">
      <c r="A249" s="831"/>
      <c r="B249" s="833"/>
      <c r="C249" s="1040"/>
      <c r="D249" s="831"/>
      <c r="E249" s="831"/>
      <c r="F249" s="832"/>
      <c r="G249" s="832"/>
      <c r="H249" s="832"/>
      <c r="I249" s="831"/>
      <c r="J249" s="832"/>
      <c r="K249" s="832"/>
    </row>
    <row r="250" spans="1:11" ht="16.5">
      <c r="A250" s="831"/>
      <c r="B250" s="833"/>
      <c r="C250" s="1040"/>
      <c r="D250" s="831"/>
      <c r="E250" s="831"/>
      <c r="F250" s="832"/>
      <c r="G250" s="832"/>
      <c r="H250" s="832"/>
      <c r="I250" s="831"/>
      <c r="J250" s="832"/>
      <c r="K250" s="832"/>
    </row>
    <row r="251" spans="1:11" ht="16.5">
      <c r="A251" s="831"/>
      <c r="B251" s="833"/>
      <c r="C251" s="1040"/>
      <c r="D251" s="831"/>
      <c r="E251" s="831"/>
      <c r="F251" s="832"/>
      <c r="G251" s="832"/>
      <c r="H251" s="832"/>
      <c r="I251" s="831"/>
      <c r="J251" s="832"/>
      <c r="K251" s="832"/>
    </row>
    <row r="252" spans="1:11" ht="16.5">
      <c r="A252" s="831"/>
      <c r="B252" s="833"/>
      <c r="C252" s="1040"/>
      <c r="D252" s="831"/>
      <c r="E252" s="831"/>
      <c r="F252" s="832"/>
      <c r="G252" s="832"/>
      <c r="H252" s="832"/>
      <c r="I252" s="831"/>
      <c r="J252" s="832"/>
      <c r="K252" s="832"/>
    </row>
  </sheetData>
  <sheetProtection/>
  <mergeCells count="6">
    <mergeCell ref="B36:G36"/>
    <mergeCell ref="B35:G35"/>
    <mergeCell ref="H35:K35"/>
    <mergeCell ref="J1:K1"/>
    <mergeCell ref="A3:K3"/>
    <mergeCell ref="B2:K2"/>
  </mergeCells>
  <printOptions horizontalCentered="1"/>
  <pageMargins left="0.669291338582677" right="0.551181102362205" top="0.76" bottom="0.71" header="0.511811023622047" footer="0.36"/>
  <pageSetup fitToHeight="0" fitToWidth="1" horizontalDpi="600" verticalDpi="600" orientation="landscape" paperSize="9" scale="77" r:id="rId1"/>
  <headerFooter alignWithMargins="0">
    <oddFooter>&amp;R&amp;"Times New Roman,Regular"&amp;12&amp;P/&amp;N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Phu Ha</dc:creator>
  <cp:keywords/>
  <dc:description/>
  <cp:lastModifiedBy>Lap-VPUBDB</cp:lastModifiedBy>
  <cp:lastPrinted>2015-12-04T16:54:46Z</cp:lastPrinted>
  <dcterms:created xsi:type="dcterms:W3CDTF">2008-09-24T14:33:07Z</dcterms:created>
  <dcterms:modified xsi:type="dcterms:W3CDTF">2015-12-04T17:16:43Z</dcterms:modified>
  <cp:category/>
  <cp:version/>
  <cp:contentType/>
  <cp:contentStatus/>
</cp:coreProperties>
</file>